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95" tabRatio="627" firstSheet="2" activeTab="4"/>
  </bookViews>
  <sheets>
    <sheet name="ตาราง FTES ปรับชื่อสาขา (เดิม)" sheetId="1" state="hidden" r:id="rId1"/>
    <sheet name="ตาราง FTES ปรับชื่อสาขา (เพิ่ม)" sheetId="2" state="hidden" r:id="rId2"/>
    <sheet name="FTES_53 ภาคฤดูร้อน (ปกติ)" sheetId="3" r:id="rId3"/>
    <sheet name="FTES 1-2-53 สมทบและพิเศษ  " sheetId="4" r:id="rId4"/>
    <sheet name="FTES 1-2-53 ปกติ " sheetId="5" r:id="rId5"/>
    <sheet name=" FTES ใช้งานประชุม" sheetId="6" state="hidden" r:id="rId6"/>
    <sheet name=" FTES ปกติ (สกอ.) " sheetId="7" state="hidden" r:id="rId7"/>
    <sheet name="2 FTESสมทบ (สกอ.) " sheetId="8" state="hidden" r:id="rId8"/>
    <sheet name="2 FTESปกติ (สกอ.)" sheetId="9" state="hidden" r:id="rId9"/>
  </sheets>
  <definedNames>
    <definedName name="_xlnm.Print_Area" localSheetId="4">'FTES 1-2-53 ปกติ '!$A$1:$R$148</definedName>
    <definedName name="_xlnm.Print_Area" localSheetId="3">'FTES 1-2-53 สมทบและพิเศษ  '!$A$1:$R$165</definedName>
    <definedName name="_xlnm.Print_Area" localSheetId="2">'FTES_53 ภาคฤดูร้อน (ปกติ)'!$A$1:$V$165</definedName>
    <definedName name="_xlnm.Print_Area" localSheetId="1">'ตาราง FTES ปรับชื่อสาขา (เพิ่ม)'!$A$1:$AA$152</definedName>
    <definedName name="_xlnm.Print_Titles" localSheetId="4">'FTES 1-2-53 ปกติ '!$1:$4</definedName>
    <definedName name="_xlnm.Print_Titles" localSheetId="3">'FTES 1-2-53 สมทบและพิเศษ  '!$1:$4</definedName>
    <definedName name="_xlnm.Print_Titles" localSheetId="2">'FTES_53 ภาคฤดูร้อน (ปกติ)'!$1:$4</definedName>
    <definedName name="_xlnm.Print_Titles" localSheetId="1">'ตาราง FTES ปรับชื่อสาขา (เพิ่ม)'!$1:$4</definedName>
  </definedNames>
  <calcPr fullCalcOnLoad="1"/>
</workbook>
</file>

<file path=xl/sharedStrings.xml><?xml version="1.0" encoding="utf-8"?>
<sst xmlns="http://schemas.openxmlformats.org/spreadsheetml/2006/main" count="1475" uniqueCount="321">
  <si>
    <t>สรุปจำนวนเฉลี่ย  FTES  ภาคปกติ  มหาวิทยาลัยทักษิณ  ภาคปลาย   ปีการศึกษา  2552 และภาคต้น  ปีการศึกษา  2553  (สำหรับอัตรากำลัง - เกณฑ์ สกอ.)</t>
  </si>
  <si>
    <t>ภาคปลาย ปีการศึกษา  2552</t>
  </si>
  <si>
    <t>ภาคต้น  ปีการศึกษา 2553</t>
  </si>
  <si>
    <t>รวม</t>
  </si>
  <si>
    <t>ภาควิชา / สาขาวิชา</t>
  </si>
  <si>
    <t>จำนวน FTES</t>
  </si>
  <si>
    <t>ทั้งสิ้น</t>
  </si>
  <si>
    <t>เฉลี่ย</t>
  </si>
  <si>
    <t>ป. ตรี</t>
  </si>
  <si>
    <t>ป.บัณฑิต</t>
  </si>
  <si>
    <t>ป.โท</t>
  </si>
  <si>
    <t>ป.เอก</t>
  </si>
  <si>
    <t>ปรับ</t>
  </si>
  <si>
    <t>FTES</t>
  </si>
  <si>
    <t>มหาวิทยาลัยทักษิณ</t>
  </si>
  <si>
    <t>คณะเศรษฐศาสตร์และบริหารธุรกิจ</t>
  </si>
  <si>
    <t xml:space="preserve">   สาขาวิชาเศรษฐศาสตร์</t>
  </si>
  <si>
    <t xml:space="preserve">   สาขาวิชาบัญชี</t>
  </si>
  <si>
    <t xml:space="preserve">   สาขาวิชาบริหารธุรกิจ</t>
  </si>
  <si>
    <t xml:space="preserve">   - บริหารธุรกิจ</t>
  </si>
  <si>
    <t xml:space="preserve">   - การเงิน</t>
  </si>
  <si>
    <t xml:space="preserve">   - การตลาด</t>
  </si>
  <si>
    <t xml:space="preserve">   - การจัดการธุรกิจ</t>
  </si>
  <si>
    <t xml:space="preserve">  วิทยานิพนธ์</t>
  </si>
  <si>
    <t xml:space="preserve">   - การจัดการการค้าปลีก</t>
  </si>
  <si>
    <t>คณะศึกษาศาสตร์</t>
  </si>
  <si>
    <t xml:space="preserve">  คณะศึกษาศาสตร์ (วิชาชีพครู)</t>
  </si>
  <si>
    <t xml:space="preserve">  ภาควิชาหลักสูตรและการสอน</t>
  </si>
  <si>
    <t xml:space="preserve">  หลักสูตรและการสอน</t>
  </si>
  <si>
    <t xml:space="preserve">  วิชาชีพครู</t>
  </si>
  <si>
    <t xml:space="preserve">  - ฝึกสอนหรือฝึกงาน </t>
  </si>
  <si>
    <t xml:space="preserve">  การศึกษาปฐมวัย</t>
  </si>
  <si>
    <t xml:space="preserve">  ภาควิชาพลศึกษาและสุขศึกษา</t>
  </si>
  <si>
    <t xml:space="preserve">  พลศึกษาและสุขศึกษา</t>
  </si>
  <si>
    <t xml:space="preserve">  วิชาขีพครู</t>
  </si>
  <si>
    <t xml:space="preserve">  ภาควิชาเทคโนโลยีและสื่อสารการศึกษา</t>
  </si>
  <si>
    <t xml:space="preserve">  เทคโนโลยีและสื่อสารการศึกษา</t>
  </si>
  <si>
    <t xml:space="preserve">  เทคโนโลยีการศึกษา</t>
  </si>
  <si>
    <t xml:space="preserve">  ภาควิชาจิตวิทยาและการแนะแนว</t>
  </si>
  <si>
    <t xml:space="preserve">  จิตวิทยาและการแนะแนว</t>
  </si>
  <si>
    <t xml:space="preserve">  จิตวิทยาการให้คำปรึกษา</t>
  </si>
  <si>
    <t xml:space="preserve">  ภาควิชาประเมินผลและวิจัย</t>
  </si>
  <si>
    <t xml:space="preserve">  การวัดและประเมินผลทางการศึกษา</t>
  </si>
  <si>
    <t xml:space="preserve">  พื้นฐานทางการศึกษาและวิจัย</t>
  </si>
  <si>
    <t xml:space="preserve">  การวิจัยและประเมิน</t>
  </si>
  <si>
    <t xml:space="preserve">  ภาควิชาการบริหารการศึกษา</t>
  </si>
  <si>
    <t xml:space="preserve">  การบริหารการศึกษา</t>
  </si>
  <si>
    <t>คณะนิติศาสตร์</t>
  </si>
  <si>
    <t xml:space="preserve"> สาขาวิชานิติศาสตร์</t>
  </si>
  <si>
    <t>คณะศิลปกรรมศาสตร์</t>
  </si>
  <si>
    <t xml:space="preserve">  สาขาวิชาทัศนศิลป์</t>
  </si>
  <si>
    <t xml:space="preserve">  สาขาวิชาดุริยางคศาสตร์</t>
  </si>
  <si>
    <t xml:space="preserve">  ดุริยางคศาสตร์สากล</t>
  </si>
  <si>
    <t xml:space="preserve">  ดุริยางคศาสตร์ไทย</t>
  </si>
  <si>
    <t xml:space="preserve">  สาขาวิชาศิลปะการแสดง</t>
  </si>
  <si>
    <t>คณะมนุษยศาสตร์และสังคมศาสตร์</t>
  </si>
  <si>
    <t xml:space="preserve">  คณะมนุษยศาสตร์ (วัฒนธรรมศึกษา)</t>
  </si>
  <si>
    <t xml:space="preserve"> วัฒนธรรมศึกษา</t>
  </si>
  <si>
    <t xml:space="preserve"> ดุษฎีนิพนธ์</t>
  </si>
  <si>
    <t xml:space="preserve">  ภาควิชาสังคมศาสตร์</t>
  </si>
  <si>
    <t xml:space="preserve">  ประวัติศาสตร์</t>
  </si>
  <si>
    <t xml:space="preserve">  สังคมศึกษา</t>
  </si>
  <si>
    <t xml:space="preserve">  สังคมวิทยา</t>
  </si>
  <si>
    <t xml:space="preserve">  รัฐศาสตร์</t>
  </si>
  <si>
    <t xml:space="preserve">  การพัฒนาชุมชน</t>
  </si>
  <si>
    <t xml:space="preserve">  การจัดการทรัพยากรมนุษย์</t>
  </si>
  <si>
    <t xml:space="preserve">  การปกครองท้องถิ่น</t>
  </si>
  <si>
    <t xml:space="preserve">  ภาควิชาบรรณารักษศาสตร์</t>
  </si>
  <si>
    <t xml:space="preserve">  บรรณารักษศาสตร์และสารสนเทศศาสตร์</t>
  </si>
  <si>
    <t xml:space="preserve">  ภาควิชาภาษาไทยและภาษาตะวันออก</t>
  </si>
  <si>
    <t xml:space="preserve">  ภาษาไทย</t>
  </si>
  <si>
    <t xml:space="preserve"> ปริญญานิพนธ์</t>
  </si>
  <si>
    <t xml:space="preserve">  ไทยคดีศึกษา</t>
  </si>
  <si>
    <t xml:space="preserve"> วิทยานิพนธ์</t>
  </si>
  <si>
    <t xml:space="preserve">  ภาษามลายู</t>
  </si>
  <si>
    <t xml:space="preserve">  ภาษาจีน</t>
  </si>
  <si>
    <t xml:space="preserve">  ภาษาเกาหลี</t>
  </si>
  <si>
    <t xml:space="preserve">  ภาษาญี่ปุ่น</t>
  </si>
  <si>
    <t xml:space="preserve">  ภาควิชาภาษาตะวันตก</t>
  </si>
  <si>
    <t xml:space="preserve">  ภาษาอังกฤษ</t>
  </si>
  <si>
    <t xml:space="preserve">  ภาควิชาภูมิศาสตร์</t>
  </si>
  <si>
    <t xml:space="preserve">  ภูมิศาสตร์</t>
  </si>
  <si>
    <t>บัณฑิตวิทยาลัย</t>
  </si>
  <si>
    <t xml:space="preserve"> นโยบายและการวางแผนสังคม</t>
  </si>
  <si>
    <t xml:space="preserve"> การศึกษาเพื่อพัฒนาทรัพยากรมนุษย์</t>
  </si>
  <si>
    <t>คณะวิทยาศาสตร์</t>
  </si>
  <si>
    <t xml:space="preserve"> สาขาวิชาคณิตศาสตร์และสถิติ</t>
  </si>
  <si>
    <t xml:space="preserve">  คณิตศาสตร์</t>
  </si>
  <si>
    <t xml:space="preserve">  สถิติ</t>
  </si>
  <si>
    <t xml:space="preserve"> สาขาวิชาคอมพิวเตอร์และเทคโนโลยีสารสนเทศ</t>
  </si>
  <si>
    <t xml:space="preserve">  วิทยาการคอมพิวเตอร์</t>
  </si>
  <si>
    <t xml:space="preserve">  เทคโนโลยีสารสนเทศ</t>
  </si>
  <si>
    <t xml:space="preserve">  สาขาวิชาฟิสิกส์ </t>
  </si>
  <si>
    <t xml:space="preserve">  ฟิสิกส์</t>
  </si>
  <si>
    <t xml:space="preserve">  ฟิสิกส์ประยุกต์ - พลังงาน</t>
  </si>
  <si>
    <t xml:space="preserve">  สาขาวิชาเคมี</t>
  </si>
  <si>
    <t xml:space="preserve">  เคมี</t>
  </si>
  <si>
    <t xml:space="preserve">  เคมี - ประยุกต์</t>
  </si>
  <si>
    <t xml:space="preserve">  เคมีอุตสาหกรรม</t>
  </si>
  <si>
    <t xml:space="preserve">  สาขาวิชาชีววิทยา</t>
  </si>
  <si>
    <t xml:space="preserve">  ชีววิทยา</t>
  </si>
  <si>
    <t xml:space="preserve">  สาขาวิชาวิทยาศาสตร์ชีวภาพและสิ่งแวดล้อม</t>
  </si>
  <si>
    <t xml:space="preserve">  วิทยาศาสตร์การเพาะเลี้ยงสัตว์น้ำ</t>
  </si>
  <si>
    <t xml:space="preserve">  วิทยาศาสตร์สิ่งแวดล้อม</t>
  </si>
  <si>
    <t>คณะวิทยาการสุขภาพและการกีฬา</t>
  </si>
  <si>
    <t xml:space="preserve">  สาขาวิชาสาธารณสุขศาสตร์</t>
  </si>
  <si>
    <t xml:space="preserve">  สาขาวิชาวิทยาศาสตร์การกีฬา</t>
  </si>
  <si>
    <t xml:space="preserve">  สาขาวิชาสุขศาสตร์อุตสาหกรรมและความปลอดภัย</t>
  </si>
  <si>
    <t>คณะเทคโนโลยีและการพัฒนาชุมชน</t>
  </si>
  <si>
    <t xml:space="preserve">  สาขาวิชาวิทยาศาสตร์และเทคโนโลยีอาหาร</t>
  </si>
  <si>
    <t xml:space="preserve">  สาขาวิชาเทคโนโลยีการเกษตร</t>
  </si>
  <si>
    <t xml:space="preserve">  เทคโนโลยีการผลิตสัตว์</t>
  </si>
  <si>
    <t xml:space="preserve">  เทคโนโลยีการผลิตพืช</t>
  </si>
  <si>
    <r>
      <t>หมายเหตุ</t>
    </r>
    <r>
      <rPr>
        <sz val="12"/>
        <rFont val="Cordia New"/>
        <family val="2"/>
      </rPr>
      <t xml:space="preserve">    ไม่รวม ภาคนิพนธ์   ปริญญานิพนธ์  วิทยานิพนธ์   ดุษฎีนิพนธ์  </t>
    </r>
  </si>
  <si>
    <t xml:space="preserve">                    ภาคปลาย  ปีการศึกษา  2552  วันที่ 16 พฤศจิกายน  2552  ภาคต้น  ปีการศึกษา  2553  ณ วันที่ 21 มิถุนายน  2553</t>
  </si>
  <si>
    <t>ภาคปลาย  ปีการศึกษา 2553</t>
  </si>
  <si>
    <t>สรุปจำนวนเฉลี่ย  FTES  ภาคปกติ  มหาวิทยาลัยทักษิณ  ภาคต้น - ปลาย   ปีการศึกษา  2553  (สำหรับอัตรากำลัง - เกณฑ์ สกอ.)</t>
  </si>
  <si>
    <t xml:space="preserve">  สาขาวิชาหลักสูตรและการสอน</t>
  </si>
  <si>
    <t xml:space="preserve">  สาขาวิชาพลศึกษาและสุขศึกษา</t>
  </si>
  <si>
    <t xml:space="preserve">  สาขาวิชาเทคโนโลยีและสื่อสารการศึกษา</t>
  </si>
  <si>
    <t xml:space="preserve">  สาขาวิชาจิตวิทยาและการแนะแนว</t>
  </si>
  <si>
    <t xml:space="preserve">  สาขาวิชาประเมินผลและวิจัย</t>
  </si>
  <si>
    <t xml:space="preserve">  สาขาวิชาการบริหารการศึกษา</t>
  </si>
  <si>
    <t xml:space="preserve">  สาขาวิชาสังคมศาสตร์</t>
  </si>
  <si>
    <t xml:space="preserve">  สาขาวิชาภาษาตะวันตก</t>
  </si>
  <si>
    <t xml:space="preserve">  สาขาวิชาภูมิศาสตร์</t>
  </si>
  <si>
    <t>จำนวน  FTES  ภาคสมทบและภาคพิเศษ  มหาวิทยาลัยทักษิณ   ภาคปลาย  ปีการศึกษา  2552 และภาคต้น  ปีการศึกษา  2553   (สำหรับอัตรากำลัง- เกณฑ์ สกอ.)</t>
  </si>
  <si>
    <t xml:space="preserve">  สาขาวิชาเศรษฐศาสตร์</t>
  </si>
  <si>
    <t xml:space="preserve">  สาขาวิชาบัญชี</t>
  </si>
  <si>
    <t xml:space="preserve">  สาขาวิชาบริหารธุรกิจ</t>
  </si>
  <si>
    <t xml:space="preserve">  - บริหารธุรกิจ</t>
  </si>
  <si>
    <t xml:space="preserve">  - การตลาด</t>
  </si>
  <si>
    <t xml:space="preserve">  - การจัดการธุรกิจ</t>
  </si>
  <si>
    <t xml:space="preserve">  ภาวะผู้นำทางการบริหารการศึกษา</t>
  </si>
  <si>
    <t xml:space="preserve">  ดุษฎีบัณฑิต</t>
  </si>
  <si>
    <t xml:space="preserve">   วิชาชีพครู</t>
  </si>
  <si>
    <t xml:space="preserve">  การประเมินผลและวิจัย</t>
  </si>
  <si>
    <t xml:space="preserve">  ภาควิชาบรรณารักษศาสตร์ ฯ</t>
  </si>
  <si>
    <t xml:space="preserve"> ภาคนิพนธ์</t>
  </si>
  <si>
    <t xml:space="preserve">  การจัดการระบบสุขภาพ</t>
  </si>
  <si>
    <r>
      <t>หมายเหตุ</t>
    </r>
    <r>
      <rPr>
        <sz val="12"/>
        <rFont val="Cordia New"/>
        <family val="2"/>
      </rPr>
      <t xml:space="preserve">   ไม่รวมภาคนิพนธ์  วิทยานิพนธ์  ดุษฎีบัณฑิต</t>
    </r>
  </si>
  <si>
    <t xml:space="preserve">                   ภาคปลาย  ปีการศึกษา  2552  ณ วันที่ 16 พฤศจิกายน  2552 และภาคต้น  ปีการศึกษา  2553  ณ วันที่ 21 มิถุนายน  2553</t>
  </si>
  <si>
    <t>จำนวน  FTES  ภาคสมทบและภาคพิเศษ  มหาวิทยาลัยทักษิณ   ภาคต้น - ปลาย  ปีการศึกษา  2553  (สำหรับอัตรากำลัง- เกณฑ์ สกอ.)</t>
  </si>
  <si>
    <t>ภาคต้น  ปีการศึกษา  2553</t>
  </si>
  <si>
    <t xml:space="preserve">  สาขาวิชาบรรณารักษศาสตร์และสารสนเทศศาสตร์</t>
  </si>
  <si>
    <t xml:space="preserve">  สาขาวิชาภาษาไทย</t>
  </si>
  <si>
    <t xml:space="preserve">  สาขาวิชาภาษาตะวันออก</t>
  </si>
  <si>
    <t xml:space="preserve">  สาขาวิชารัฐประศาสตร์และการจัดการทรพัยากรมนุษย์</t>
  </si>
  <si>
    <t xml:space="preserve">  รัฐประศาสตร์และการจัดการทรพัยากรมนุษย์</t>
  </si>
  <si>
    <t>คณะ</t>
  </si>
  <si>
    <t>สาขาวิชา</t>
  </si>
  <si>
    <t>เทอม 2-53</t>
  </si>
  <si>
    <t>เทอม 1-53</t>
  </si>
  <si>
    <t xml:space="preserve"> ประมาณการ FTES ภาคต้น -ปลาย 2553  (สำหรับอัตรากำลัง - เกณฑ์ สกอ.)</t>
  </si>
  <si>
    <t xml:space="preserve">หมายเหตุ   :   ข้อมูลจาก ตารางเรียน ภาคเรียนที่ 2  ปีการศึกษา 2553 ประกอบกับ  FTES 1-53   ณ  วันที่  21 มิถุนายน 2553 </t>
  </si>
  <si>
    <t>ฝ่ายแผนงานและการคลัง  ม.ทักษิณ</t>
  </si>
  <si>
    <t xml:space="preserve">   - ฟิสิกส์ประยุกต์ - พลังงาน</t>
  </si>
  <si>
    <t xml:space="preserve">  - ชีววิทยา</t>
  </si>
  <si>
    <t xml:space="preserve">   - วิทยาศาสตร์การเพาะเลี้ยงสัตว์น้ำ</t>
  </si>
  <si>
    <t xml:space="preserve">  - ฟิสิกส์ </t>
  </si>
  <si>
    <t xml:space="preserve">   สาขาวิชาวิทยาศาสตร์ชีวภาพและสิ่งแวดล้อม</t>
  </si>
  <si>
    <t xml:space="preserve">   - วิทยาศาสตร์สิ่งแวดล้อม</t>
  </si>
  <si>
    <t>กลุ่มภารกิจยุทธศาสตร์และแผนงาน</t>
  </si>
  <si>
    <t xml:space="preserve">  สาขาพลศึกษา</t>
  </si>
  <si>
    <r>
      <t>หมายเหตุ</t>
    </r>
    <r>
      <rPr>
        <sz val="12"/>
        <rFont val="Cordia New"/>
        <family val="2"/>
      </rPr>
      <t xml:space="preserve">        ไม่รวม ภาคนิพนธ์   ปริญญานิพนธ์  วิทยานิพนธ์   ดุษฎีนิพนธ์  </t>
    </r>
  </si>
  <si>
    <t xml:space="preserve">                        ภาคต้น    ปีการศึกษา  2553  ณ วันที่ 21 มิถุนายน  2553</t>
  </si>
  <si>
    <t xml:space="preserve">                       ภาคปลาย  ปีการศึกษา  2552  ณ วันที่  21 ตุลาคม  2553  </t>
  </si>
  <si>
    <t>สาขาวิชาการศึกษา</t>
  </si>
  <si>
    <t>สาขาวิชาการประเมินผลและวิจัย</t>
  </si>
  <si>
    <t>สาขาวิชาจิตวิทยาและการแนะแนว</t>
  </si>
  <si>
    <t>สาขาวิชาการบริหารการศึกษา</t>
  </si>
  <si>
    <t>สาขาวิชาเทคโนโลยีและสื่อสารการศึกษา</t>
  </si>
  <si>
    <t>สาขาวิชาการศึกษาปฐมวัย</t>
  </si>
  <si>
    <t>สาขาวิชาหลักสูตรและการสอน</t>
  </si>
  <si>
    <t>สาขาวิชาหลักสูตรและการสอนวิทยาศาสตร์</t>
  </si>
  <si>
    <t>สาขาวิชาพลศึกษาและสุขศึกษา</t>
  </si>
  <si>
    <t>สาขาวิชาการสอนคณิตศาสตร์</t>
  </si>
  <si>
    <t>สาขาวิชาการสอนคอมพิวเตอร์</t>
  </si>
  <si>
    <t>สาขาวิชาเคมี</t>
  </si>
  <si>
    <t>สาขาวิชาการสอนชีววิทยา</t>
  </si>
  <si>
    <t>สาขาวิชาการสอนฟิสิกส์</t>
  </si>
  <si>
    <t>สาขาวิชาหลักสูตรและการสอนศิลปศาสตร์</t>
  </si>
  <si>
    <t>สาขาวิชาการสอนภาษาไทย</t>
  </si>
  <si>
    <t>สาขาวิชาการสอนสังคมศึกษา</t>
  </si>
  <si>
    <t>สาขาวิชาการสอนมลายู</t>
  </si>
  <si>
    <t>สาขาวิชาบรรณารักษศาสตร์และสารสนเทศศาสตร์</t>
  </si>
  <si>
    <t>สาขาวิชาภาษาไทย</t>
  </si>
  <si>
    <t>สาขาวิชาสังคมศาสตร์</t>
  </si>
  <si>
    <t>สาขาวิชาภาษาตะวันออก</t>
  </si>
  <si>
    <t>ภาษามลายู</t>
  </si>
  <si>
    <t>ภาษาจีน</t>
  </si>
  <si>
    <t>ภาษาเกาหลี</t>
  </si>
  <si>
    <t>ภาษาญี่ปุ่น</t>
  </si>
  <si>
    <t>ภาษาอังกฤษ</t>
  </si>
  <si>
    <t>ภาษาไทย</t>
  </si>
  <si>
    <t>ปริญญานิพนธ์</t>
  </si>
  <si>
    <t>ไทยคดีศึกษา</t>
  </si>
  <si>
    <t>วิทยานิพนธ์</t>
  </si>
  <si>
    <t>ภูมิศาสตร์</t>
  </si>
  <si>
    <t>สาขาวิชาภูมิศาสตร์</t>
  </si>
  <si>
    <t>สาขาวิชาภาษาตะวันตก</t>
  </si>
  <si>
    <t>บริหารธุรกิจ</t>
  </si>
  <si>
    <t>การเงิน</t>
  </si>
  <si>
    <t>การตลาด</t>
  </si>
  <si>
    <t>การจัดการธุรกิจ</t>
  </si>
  <si>
    <t>สาขาวิชาเศรษฐศาสตร์</t>
  </si>
  <si>
    <t>สาขาวิชาบัญชี</t>
  </si>
  <si>
    <t>สาขาวิชาบริหารธุรกิจ</t>
  </si>
  <si>
    <t>วัฒนธรรมศึกษา</t>
  </si>
  <si>
    <t>ดุษฎีนิพนธ์</t>
  </si>
  <si>
    <t>ประวัติศาสตร์</t>
  </si>
  <si>
    <t>สังคมศึกษา</t>
  </si>
  <si>
    <t>สังคมวิทยา</t>
  </si>
  <si>
    <t>การพัฒนาชุมชน</t>
  </si>
  <si>
    <t>รัฐประศาสตร์และการจัดการทรพัยากรมนุษย์</t>
  </si>
  <si>
    <t>บรรณารักษศาสตร์และสารสนเทศศาสตร์</t>
  </si>
  <si>
    <t>คณิตศาสตร์</t>
  </si>
  <si>
    <t>สถิติ</t>
  </si>
  <si>
    <t xml:space="preserve">สาขาวิชาฟิสิกส์ </t>
  </si>
  <si>
    <t>สาขาวิชาคอมพิวเตอร์และเทคโนโลยีสารสนเทศ</t>
  </si>
  <si>
    <t>ฟิสิกส์</t>
  </si>
  <si>
    <t>ฟิสิกส์ประยุกต์ - พลังงาน</t>
  </si>
  <si>
    <t>วิทยาการคอมพิวเตอร์</t>
  </si>
  <si>
    <t>เทคโนโลยีสารสนเทศ</t>
  </si>
  <si>
    <t>เคมี</t>
  </si>
  <si>
    <t>เคมี - ประยุกต์</t>
  </si>
  <si>
    <t>เคมีอุตสาหกรรม</t>
  </si>
  <si>
    <t>สาขาวิชาชีววิทยา</t>
  </si>
  <si>
    <t>ชีววิทยา</t>
  </si>
  <si>
    <t>สาขาวิชาวิทยาศาสตร์ชีวภาพและสิ่งแวดล้อม</t>
  </si>
  <si>
    <t>วิทยาศาสตร์การเพาะเลี้ยงสัตว์น้ำ</t>
  </si>
  <si>
    <t>วิทยาศาสตร์สิ่งแวดล้อม</t>
  </si>
  <si>
    <t>สาขาวิชาสาธารณสุข</t>
  </si>
  <si>
    <t>สาขาวิชาการจัดการระบบสุขภาพ</t>
  </si>
  <si>
    <t>สาขาวิชาสาธารณสุขศาสตร์</t>
  </si>
  <si>
    <t>สาขาวิชาวิทยาศาสตร์การกีฬา</t>
  </si>
  <si>
    <t>สาขาวิชาสุขศาสตร์อุตสาหกรรมและสุขภาพสิ่งแวดล้อม</t>
  </si>
  <si>
    <t>สาขาวิชาเทคโนโลยีการเกษตร</t>
  </si>
  <si>
    <t>สาขาวิชาวิทยาศาสตร์และเทคโนโลยีอาหาร</t>
  </si>
  <si>
    <t>สาขาวิชาการเกษตร</t>
  </si>
  <si>
    <t>สาขาวิชาผลิตสัตว์</t>
  </si>
  <si>
    <t>สาขาวิชาผลิตพืช</t>
  </si>
  <si>
    <t>วิชาชีพครู</t>
  </si>
  <si>
    <t>การวัดและประเมินผลทางการศึกษา</t>
  </si>
  <si>
    <t>พื้นฐานทางการศึกษาและวิจัย</t>
  </si>
  <si>
    <t>การวิจัยและประเมิน</t>
  </si>
  <si>
    <t xml:space="preserve">ฝึกสอนหรือฝึกงาน </t>
  </si>
  <si>
    <t>หลักสูตรและการสอน</t>
  </si>
  <si>
    <t>จิตวิทยาและการแนะแนว</t>
  </si>
  <si>
    <t>จิตวิทยาการให้คำปรึกษา</t>
  </si>
  <si>
    <t>เทคโนโลยีและสื่อสารการศึกษา</t>
  </si>
  <si>
    <t>เทคโนโลยีการศึกษา</t>
  </si>
  <si>
    <t>วิชาขีพครู</t>
  </si>
  <si>
    <t>การบริหารการศึกษา</t>
  </si>
  <si>
    <t>พลศึกษาและสุขศึกษา</t>
  </si>
  <si>
    <t>สาขาวิชานิติศาสตร์</t>
  </si>
  <si>
    <t>สาขาวิชาทัศนศิลป์</t>
  </si>
  <si>
    <t>สาขาวิชาดุริยางคศาสตร์</t>
  </si>
  <si>
    <t>ดุริยางคศาสตร์สากล</t>
  </si>
  <si>
    <t>ดุริยางคศาสตร์ไทย</t>
  </si>
  <si>
    <t>สาขาวิชาการสอนเคมี</t>
  </si>
  <si>
    <t>สรุปจำนวนนิสิตเต็มเวลา (FTES)  ภาคปกติ  มหาวิทยาลัยทักษิณ  ภาคต้น - ปลาย   ปีการศึกษา  2553  (สำหรับอัตรากำลัง - เกณฑ์ สกอ.)</t>
  </si>
  <si>
    <t>สาขาวิชาศิลปะการแสดง</t>
  </si>
  <si>
    <t>สาขาวิชาคณิตศาสตร์และสถิติ</t>
  </si>
  <si>
    <t>นโยบายและการวางแผนสังคม</t>
  </si>
  <si>
    <t>การศึกษาเพื่อพัฒนาทรัพยากรมนุษย์</t>
  </si>
  <si>
    <t>1.คณะเศรษฐศาสตร์และบริหารธุรกิจ</t>
  </si>
  <si>
    <t>2.คณะศึกษาศาสตร์</t>
  </si>
  <si>
    <t>3.คณะนิติศาสตร์</t>
  </si>
  <si>
    <t>4.คณะศิลปกรรมศาสตร์</t>
  </si>
  <si>
    <t>5.คณะมนุษยศาสตร์และสังคมศาสตร์</t>
  </si>
  <si>
    <t>6.บัณฑิตวิทยาลัย</t>
  </si>
  <si>
    <t>7.คณะวิทยาศาสตร์</t>
  </si>
  <si>
    <t>8.คณะวิทยาการสุขภาพและการกีฬา</t>
  </si>
  <si>
    <t>9.คณะเทคโนโลยีและการพัฒนาชุมชน</t>
  </si>
  <si>
    <t>สาขาวิชารัฐประศาสตร์และการจัดการทรัพยากรมนุษย์</t>
  </si>
  <si>
    <r>
      <t>หมายเหตุ</t>
    </r>
    <r>
      <rPr>
        <sz val="12"/>
        <rFont val="Cordia New"/>
        <family val="2"/>
      </rPr>
      <t xml:space="preserve">       ไม่รวม ภาคนิพนธ์   ปริญญานิพนธ์  วิทยานิพนธ์   ดุษฎีนิพนธ์  </t>
    </r>
  </si>
  <si>
    <t xml:space="preserve">                          ภาคปลาย  ปีการศึกษา  2552  ณ วันที่  21 ตุลาคม  2553  </t>
  </si>
  <si>
    <t xml:space="preserve">                          ภาคต้น    ปีการศึกษา  2553  ณ วันที่ 21 มิถุนายน  2553</t>
  </si>
  <si>
    <t>สาขาวิชาการสอนภาษาอังกฤษ (วิชาชีพครูเดิม)</t>
  </si>
  <si>
    <t xml:space="preserve">                          ภาคปลาย  ปีการศึกษา  2552  ณ วันที่  23  พฤศจิกายน  2553  </t>
  </si>
  <si>
    <t xml:space="preserve">                          ภาคต้น    ปีการศึกษา  2553     ณ วันที่  21  มิถุนายน  2553</t>
  </si>
  <si>
    <t>ปกติ</t>
  </si>
  <si>
    <t>สมทบ</t>
  </si>
  <si>
    <t>พิเศษ</t>
  </si>
  <si>
    <t>พัทลุง - ปกติ</t>
  </si>
  <si>
    <t>สงขลา - ปกติ</t>
  </si>
  <si>
    <t>ศษ.ท.</t>
  </si>
  <si>
    <t>รัฐประศาสตร์และการจัดการทรัพยากรมนุษย์</t>
  </si>
  <si>
    <t>วิทยาศาสตร์</t>
  </si>
  <si>
    <r>
      <t xml:space="preserve">สรุปจำนวนนิสิตเต็มเวลา (FTES)  </t>
    </r>
    <r>
      <rPr>
        <b/>
        <u val="single"/>
        <sz val="12"/>
        <rFont val="Cordia New"/>
        <family val="2"/>
      </rPr>
      <t>ภาคปกติ</t>
    </r>
    <r>
      <rPr>
        <b/>
        <sz val="12"/>
        <rFont val="Cordia New"/>
        <family val="2"/>
      </rPr>
      <t xml:space="preserve">  มหาวิทยาลัยทักษิณ  ภาคต้น - ปลาย   ปีการศึกษา  2553  </t>
    </r>
  </si>
  <si>
    <t xml:space="preserve">สาขาวิชาการสอนภาษาอังกฤษ </t>
  </si>
  <si>
    <t>จัดทำและวิเคราะห์ข้อมูลโดย นางสาวรัชนีกร  ชูเชิด ฝ่ายแผนงานและการคลัง โทร.7406</t>
  </si>
  <si>
    <t xml:space="preserve">จัดทำและวิเคราะห์ข้อมูลโดย นางสาวรัชนีกร  ชูเชิด ฝ่ายแผนงานและการคลัง โทร.63-7406 </t>
  </si>
  <si>
    <t xml:space="preserve"> </t>
  </si>
  <si>
    <t>ภาวะผู้นำทางการบริหารการศึกษา</t>
  </si>
  <si>
    <t>นิเทศศาสตร์</t>
  </si>
  <si>
    <t>สาขาวิชาการสอนภาษาอังกฤษ  (ภาษาอังกฤษสำหรับครู)</t>
  </si>
  <si>
    <t>สาขาวิชาการสอนภาษาไทย (ภาษาไทยสำหรับครู)</t>
  </si>
  <si>
    <t>สาขาวิชารัฐประศาสนศาสตร์และการจัดการทรัพยากรมนุษย์</t>
  </si>
  <si>
    <t>รัฐศาสตร์</t>
  </si>
  <si>
    <t>รัฐประศาสนศาสตร์ (+การจัดการทรัพยากรมนุษย์ 2/53)</t>
  </si>
  <si>
    <t>การปกครองท้องถิ่น</t>
  </si>
  <si>
    <t>การจัดการทรัพยากรมนุษย์</t>
  </si>
  <si>
    <t>10.วิทยาลัยภูมิปัญญาชุมชน</t>
  </si>
  <si>
    <t>สาขาวิชาศึกษาทั่วไป (ทักษิณศึกษา)</t>
  </si>
  <si>
    <t>11.สถาบันทักษิณคดีศึกษา</t>
  </si>
  <si>
    <t>12.สถาบันปฏิบัติการเพื่อการศึกษาแบบบูรณาการ</t>
  </si>
  <si>
    <t xml:space="preserve">สาขาวิชาศึกษาทั่วไป </t>
  </si>
  <si>
    <r>
      <t xml:space="preserve">สรุปจำนวนนิสิตเต็มเวลา (FTES)  </t>
    </r>
    <r>
      <rPr>
        <b/>
        <u val="single"/>
        <sz val="12"/>
        <rFont val="Cordia New"/>
        <family val="2"/>
      </rPr>
      <t>ภาคสมทบและภาคพิเศษ</t>
    </r>
    <r>
      <rPr>
        <b/>
        <sz val="12"/>
        <rFont val="Cordia New"/>
        <family val="2"/>
      </rPr>
      <t xml:space="preserve">  มหาวิทยาลัยทักษิณ  ภาคต้นและภาคปลาย   ปีการศึกษา  2553 </t>
    </r>
  </si>
  <si>
    <t>ภาคปลาย ปีการศึกษา 2553</t>
  </si>
  <si>
    <t xml:space="preserve">ภาษาไทย  </t>
  </si>
  <si>
    <t>ภาคนิพนธ์</t>
  </si>
  <si>
    <t>ดุษฎีบัณฑิต</t>
  </si>
  <si>
    <t xml:space="preserve">การจัดการธุรกิจ   </t>
  </si>
  <si>
    <t>สาขาวิชาการจัดการทรัพยากรการเกษตรอย่างยั่งยืน</t>
  </si>
  <si>
    <t xml:space="preserve">ภาคปกติ </t>
  </si>
  <si>
    <t>ภาคสมทบ / ภาคพิเศษ</t>
  </si>
  <si>
    <t xml:space="preserve">                         ข้อมูล ภาคฤดูร้อน ปีการศึกษา  2553     ณ วันที่  5  เมษายน  2554</t>
  </si>
  <si>
    <r>
      <t xml:space="preserve">สรุปจำนวนนิสิตเต็มเวลา (FTES)  </t>
    </r>
    <r>
      <rPr>
        <b/>
        <u val="single"/>
        <sz val="14"/>
        <rFont val="Cordia New"/>
        <family val="2"/>
      </rPr>
      <t xml:space="preserve">ภาคฤดูร้อน </t>
    </r>
    <r>
      <rPr>
        <b/>
        <sz val="14"/>
        <rFont val="Cordia New"/>
        <family val="2"/>
      </rPr>
      <t xml:space="preserve">มหาวิทยาลัยทักษิณ ปีการศึกษา  2553 </t>
    </r>
  </si>
  <si>
    <r>
      <t>หมายเหตุ</t>
    </r>
    <r>
      <rPr>
        <sz val="14"/>
        <rFont val="Cordia New"/>
        <family val="2"/>
      </rPr>
      <t xml:space="preserve">       ไม่รวม ภาคนิพนธ์   ปริญญานิพนธ์  วิทยานิพนธ์   ดุษฎีนิพนธ์  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</si>
</sst>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54">
    <font>
      <sz val="14"/>
      <name val="Cordia New"/>
      <family val="0"/>
    </font>
    <font>
      <sz val="11"/>
      <color indexed="8"/>
      <name val="Tahoma"/>
      <family val="2"/>
    </font>
    <font>
      <b/>
      <sz val="12"/>
      <name val="Cordia New"/>
      <family val="2"/>
    </font>
    <font>
      <sz val="12"/>
      <name val="Cordia New"/>
      <family val="2"/>
    </font>
    <font>
      <b/>
      <u val="single"/>
      <sz val="12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b/>
      <sz val="13"/>
      <name val="Cordia New"/>
      <family val="2"/>
    </font>
    <font>
      <sz val="13"/>
      <name val="Cordia New"/>
      <family val="2"/>
    </font>
    <font>
      <sz val="12"/>
      <color indexed="10"/>
      <name val="Cordia New"/>
      <family val="2"/>
    </font>
    <font>
      <sz val="12"/>
      <color indexed="8"/>
      <name val="Cordia New"/>
      <family val="2"/>
    </font>
    <font>
      <sz val="13"/>
      <color indexed="10"/>
      <name val="Cordia New"/>
      <family val="2"/>
    </font>
    <font>
      <sz val="8"/>
      <name val="Cordia New"/>
      <family val="2"/>
    </font>
    <font>
      <sz val="10"/>
      <name val="Arial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Cordia New"/>
      <family val="2"/>
    </font>
    <font>
      <sz val="12"/>
      <color rgb="FFFF0000"/>
      <name val="Cordia Ne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1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47" applyFont="1" applyBorder="1">
      <alignment/>
      <protection/>
    </xf>
    <xf numFmtId="0" fontId="2" fillId="0" borderId="10" xfId="47" applyFont="1" applyBorder="1" applyAlignment="1">
      <alignment horizontal="center"/>
      <protection/>
    </xf>
    <xf numFmtId="0" fontId="2" fillId="0" borderId="10" xfId="47" applyFont="1" applyBorder="1">
      <alignment/>
      <protection/>
    </xf>
    <xf numFmtId="0" fontId="2" fillId="0" borderId="11" xfId="47" applyFont="1" applyBorder="1" applyAlignment="1">
      <alignment horizontal="center"/>
      <protection/>
    </xf>
    <xf numFmtId="0" fontId="2" fillId="0" borderId="11" xfId="47" applyFont="1" applyBorder="1" applyAlignment="1">
      <alignment horizontal="center"/>
      <protection/>
    </xf>
    <xf numFmtId="0" fontId="2" fillId="0" borderId="12" xfId="47" applyFont="1" applyBorder="1">
      <alignment/>
      <protection/>
    </xf>
    <xf numFmtId="0" fontId="2" fillId="0" borderId="12" xfId="47" applyFont="1" applyBorder="1" applyAlignment="1">
      <alignment horizontal="center"/>
      <protection/>
    </xf>
    <xf numFmtId="0" fontId="2" fillId="0" borderId="12" xfId="47" applyFont="1" applyBorder="1" applyAlignment="1">
      <alignment horizontal="center"/>
      <protection/>
    </xf>
    <xf numFmtId="0" fontId="2" fillId="0" borderId="12" xfId="47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43" fontId="2" fillId="0" borderId="13" xfId="36" applyFont="1" applyBorder="1" applyAlignment="1">
      <alignment horizontal="center"/>
    </xf>
    <xf numFmtId="0" fontId="2" fillId="33" borderId="14" xfId="47" applyFont="1" applyFill="1" applyBorder="1">
      <alignment/>
      <protection/>
    </xf>
    <xf numFmtId="43" fontId="2" fillId="33" borderId="14" xfId="36" applyFont="1" applyFill="1" applyBorder="1" applyAlignment="1">
      <alignment/>
    </xf>
    <xf numFmtId="0" fontId="3" fillId="34" borderId="15" xfId="47" applyFont="1" applyFill="1" applyBorder="1">
      <alignment/>
      <protection/>
    </xf>
    <xf numFmtId="43" fontId="3" fillId="34" borderId="15" xfId="47" applyNumberFormat="1" applyFont="1" applyFill="1" applyBorder="1">
      <alignment/>
      <protection/>
    </xf>
    <xf numFmtId="43" fontId="3" fillId="34" borderId="15" xfId="36" applyFont="1" applyFill="1" applyBorder="1" applyAlignment="1">
      <alignment/>
    </xf>
    <xf numFmtId="0" fontId="3" fillId="0" borderId="15" xfId="47" applyFont="1" applyBorder="1">
      <alignment/>
      <protection/>
    </xf>
    <xf numFmtId="43" fontId="3" fillId="0" borderId="15" xfId="47" applyNumberFormat="1" applyFont="1" applyBorder="1">
      <alignment/>
      <protection/>
    </xf>
    <xf numFmtId="43" fontId="3" fillId="0" borderId="15" xfId="36" applyFont="1" applyFill="1" applyBorder="1" applyAlignment="1">
      <alignment/>
    </xf>
    <xf numFmtId="43" fontId="3" fillId="0" borderId="15" xfId="36" applyFont="1" applyBorder="1" applyAlignment="1">
      <alignment/>
    </xf>
    <xf numFmtId="0" fontId="3" fillId="35" borderId="15" xfId="47" applyFont="1" applyFill="1" applyBorder="1">
      <alignment/>
      <protection/>
    </xf>
    <xf numFmtId="43" fontId="3" fillId="35" borderId="15" xfId="47" applyNumberFormat="1" applyFont="1" applyFill="1" applyBorder="1">
      <alignment/>
      <protection/>
    </xf>
    <xf numFmtId="43" fontId="3" fillId="35" borderId="15" xfId="36" applyFont="1" applyFill="1" applyBorder="1" applyAlignment="1">
      <alignment/>
    </xf>
    <xf numFmtId="0" fontId="3" fillId="0" borderId="15" xfId="47" applyFont="1" applyFill="1" applyBorder="1">
      <alignment/>
      <protection/>
    </xf>
    <xf numFmtId="43" fontId="3" fillId="0" borderId="15" xfId="47" applyNumberFormat="1" applyFont="1" applyFill="1" applyBorder="1">
      <alignment/>
      <protection/>
    </xf>
    <xf numFmtId="0" fontId="2" fillId="33" borderId="15" xfId="47" applyFont="1" applyFill="1" applyBorder="1">
      <alignment/>
      <protection/>
    </xf>
    <xf numFmtId="43" fontId="2" fillId="33" borderId="15" xfId="36" applyFont="1" applyFill="1" applyBorder="1" applyAlignment="1">
      <alignment/>
    </xf>
    <xf numFmtId="43" fontId="3" fillId="34" borderId="16" xfId="47" applyNumberFormat="1" applyFont="1" applyFill="1" applyBorder="1">
      <alignment/>
      <protection/>
    </xf>
    <xf numFmtId="43" fontId="3" fillId="0" borderId="15" xfId="36" applyFont="1" applyBorder="1" applyAlignment="1">
      <alignment horizontal="center"/>
    </xf>
    <xf numFmtId="43" fontId="3" fillId="35" borderId="15" xfId="36" applyFont="1" applyFill="1" applyBorder="1" applyAlignment="1">
      <alignment horizontal="center"/>
    </xf>
    <xf numFmtId="0" fontId="3" fillId="36" borderId="15" xfId="47" applyFont="1" applyFill="1" applyBorder="1">
      <alignment/>
      <protection/>
    </xf>
    <xf numFmtId="43" fontId="3" fillId="36" borderId="15" xfId="47" applyNumberFormat="1" applyFont="1" applyFill="1" applyBorder="1">
      <alignment/>
      <protection/>
    </xf>
    <xf numFmtId="43" fontId="3" fillId="36" borderId="15" xfId="36" applyFont="1" applyFill="1" applyBorder="1" applyAlignment="1">
      <alignment/>
    </xf>
    <xf numFmtId="43" fontId="3" fillId="36" borderId="15" xfId="36" applyFont="1" applyFill="1" applyBorder="1" applyAlignment="1">
      <alignment horizontal="center"/>
    </xf>
    <xf numFmtId="0" fontId="3" fillId="0" borderId="17" xfId="47" applyFont="1" applyBorder="1">
      <alignment/>
      <protection/>
    </xf>
    <xf numFmtId="43" fontId="3" fillId="0" borderId="17" xfId="47" applyNumberFormat="1" applyFont="1" applyBorder="1">
      <alignment/>
      <protection/>
    </xf>
    <xf numFmtId="43" fontId="3" fillId="0" borderId="17" xfId="36" applyFont="1" applyFill="1" applyBorder="1" applyAlignment="1">
      <alignment/>
    </xf>
    <xf numFmtId="43" fontId="3" fillId="0" borderId="17" xfId="36" applyNumberFormat="1" applyFont="1" applyFill="1" applyBorder="1" applyAlignment="1">
      <alignment/>
    </xf>
    <xf numFmtId="43" fontId="3" fillId="0" borderId="17" xfId="47" applyNumberFormat="1" applyFont="1" applyBorder="1" applyAlignment="1">
      <alignment horizontal="center"/>
      <protection/>
    </xf>
    <xf numFmtId="0" fontId="3" fillId="34" borderId="16" xfId="47" applyFont="1" applyFill="1" applyBorder="1">
      <alignment/>
      <protection/>
    </xf>
    <xf numFmtId="43" fontId="3" fillId="34" borderId="16" xfId="36" applyFont="1" applyFill="1" applyBorder="1" applyAlignment="1">
      <alignment/>
    </xf>
    <xf numFmtId="43" fontId="3" fillId="0" borderId="18" xfId="36" applyFont="1" applyBorder="1" applyAlignment="1">
      <alignment/>
    </xf>
    <xf numFmtId="43" fontId="3" fillId="36" borderId="15" xfId="47" applyNumberFormat="1" applyFont="1" applyFill="1" applyBorder="1" applyAlignment="1">
      <alignment horizontal="center"/>
      <protection/>
    </xf>
    <xf numFmtId="43" fontId="3" fillId="36" borderId="18" xfId="36" applyFont="1" applyFill="1" applyBorder="1" applyAlignment="1">
      <alignment/>
    </xf>
    <xf numFmtId="43" fontId="3" fillId="0" borderId="15" xfId="47" applyNumberFormat="1" applyFont="1" applyBorder="1" applyAlignment="1">
      <alignment horizontal="center"/>
      <protection/>
    </xf>
    <xf numFmtId="43" fontId="3" fillId="35" borderId="16" xfId="47" applyNumberFormat="1" applyFont="1" applyFill="1" applyBorder="1" applyAlignment="1">
      <alignment horizontal="center"/>
      <protection/>
    </xf>
    <xf numFmtId="43" fontId="3" fillId="35" borderId="15" xfId="47" applyNumberFormat="1" applyFont="1" applyFill="1" applyBorder="1" applyAlignment="1">
      <alignment horizontal="center"/>
      <protection/>
    </xf>
    <xf numFmtId="43" fontId="3" fillId="35" borderId="18" xfId="36" applyFont="1" applyFill="1" applyBorder="1" applyAlignment="1">
      <alignment/>
    </xf>
    <xf numFmtId="43" fontId="3" fillId="35" borderId="18" xfId="36" applyFont="1" applyFill="1" applyBorder="1" applyAlignment="1">
      <alignment horizontal="center"/>
    </xf>
    <xf numFmtId="43" fontId="3" fillId="34" borderId="15" xfId="36" applyNumberFormat="1" applyFont="1" applyFill="1" applyBorder="1" applyAlignment="1">
      <alignment/>
    </xf>
    <xf numFmtId="43" fontId="3" fillId="36" borderId="15" xfId="36" applyNumberFormat="1" applyFont="1" applyFill="1" applyBorder="1" applyAlignment="1">
      <alignment/>
    </xf>
    <xf numFmtId="43" fontId="3" fillId="0" borderId="15" xfId="36" applyNumberFormat="1" applyFont="1" applyFill="1" applyBorder="1" applyAlignment="1">
      <alignment/>
    </xf>
    <xf numFmtId="0" fontId="3" fillId="0" borderId="18" xfId="47" applyFont="1" applyBorder="1">
      <alignment/>
      <protection/>
    </xf>
    <xf numFmtId="43" fontId="3" fillId="0" borderId="18" xfId="47" applyNumberFormat="1" applyFont="1" applyBorder="1">
      <alignment/>
      <protection/>
    </xf>
    <xf numFmtId="43" fontId="3" fillId="0" borderId="18" xfId="36" applyNumberFormat="1" applyFont="1" applyFill="1" applyBorder="1" applyAlignment="1">
      <alignment/>
    </xf>
    <xf numFmtId="43" fontId="3" fillId="0" borderId="18" xfId="47" applyNumberFormat="1" applyFont="1" applyBorder="1" applyAlignment="1">
      <alignment horizontal="center"/>
      <protection/>
    </xf>
    <xf numFmtId="0" fontId="3" fillId="35" borderId="17" xfId="47" applyFont="1" applyFill="1" applyBorder="1">
      <alignment/>
      <protection/>
    </xf>
    <xf numFmtId="43" fontId="3" fillId="35" borderId="17" xfId="47" applyNumberFormat="1" applyFont="1" applyFill="1" applyBorder="1">
      <alignment/>
      <protection/>
    </xf>
    <xf numFmtId="43" fontId="3" fillId="35" borderId="17" xfId="36" applyFont="1" applyFill="1" applyBorder="1" applyAlignment="1">
      <alignment/>
    </xf>
    <xf numFmtId="43" fontId="3" fillId="35" borderId="17" xfId="36" applyNumberFormat="1" applyFont="1" applyFill="1" applyBorder="1" applyAlignment="1">
      <alignment/>
    </xf>
    <xf numFmtId="43" fontId="3" fillId="35" borderId="17" xfId="47" applyNumberFormat="1" applyFont="1" applyFill="1" applyBorder="1" applyAlignment="1">
      <alignment horizontal="center"/>
      <protection/>
    </xf>
    <xf numFmtId="43" fontId="3" fillId="35" borderId="15" xfId="36" applyNumberFormat="1" applyFont="1" applyFill="1" applyBorder="1" applyAlignment="1">
      <alignment/>
    </xf>
    <xf numFmtId="43" fontId="2" fillId="33" borderId="15" xfId="36" applyNumberFormat="1" applyFont="1" applyFill="1" applyBorder="1" applyAlignment="1">
      <alignment/>
    </xf>
    <xf numFmtId="43" fontId="3" fillId="34" borderId="15" xfId="47" applyNumberFormat="1" applyFont="1" applyFill="1" applyBorder="1" applyAlignment="1">
      <alignment horizontal="center"/>
      <protection/>
    </xf>
    <xf numFmtId="0" fontId="2" fillId="33" borderId="15" xfId="47" applyFont="1" applyFill="1" applyBorder="1">
      <alignment/>
      <protection/>
    </xf>
    <xf numFmtId="43" fontId="2" fillId="33" borderId="15" xfId="36" applyNumberFormat="1" applyFont="1" applyFill="1" applyBorder="1" applyAlignment="1">
      <alignment/>
    </xf>
    <xf numFmtId="0" fontId="3" fillId="34" borderId="15" xfId="47" applyFont="1" applyFill="1" applyBorder="1">
      <alignment/>
      <protection/>
    </xf>
    <xf numFmtId="43" fontId="3" fillId="34" borderId="15" xfId="47" applyNumberFormat="1" applyFont="1" applyFill="1" applyBorder="1">
      <alignment/>
      <protection/>
    </xf>
    <xf numFmtId="43" fontId="3" fillId="34" borderId="15" xfId="36" applyNumberFormat="1" applyFont="1" applyFill="1" applyBorder="1" applyAlignment="1">
      <alignment/>
    </xf>
    <xf numFmtId="43" fontId="3" fillId="34" borderId="15" xfId="47" applyNumberFormat="1" applyFont="1" applyFill="1" applyBorder="1" applyAlignment="1">
      <alignment horizontal="center"/>
      <protection/>
    </xf>
    <xf numFmtId="0" fontId="3" fillId="0" borderId="15" xfId="47" applyFont="1" applyBorder="1">
      <alignment/>
      <protection/>
    </xf>
    <xf numFmtId="43" fontId="3" fillId="0" borderId="15" xfId="47" applyNumberFormat="1" applyFont="1" applyBorder="1">
      <alignment/>
      <protection/>
    </xf>
    <xf numFmtId="43" fontId="3" fillId="0" borderId="15" xfId="36" applyNumberFormat="1" applyFont="1" applyFill="1" applyBorder="1" applyAlignment="1">
      <alignment/>
    </xf>
    <xf numFmtId="43" fontId="3" fillId="0" borderId="15" xfId="47" applyNumberFormat="1" applyFont="1" applyBorder="1" applyAlignment="1">
      <alignment horizontal="center"/>
      <protection/>
    </xf>
    <xf numFmtId="0" fontId="3" fillId="34" borderId="18" xfId="47" applyFont="1" applyFill="1" applyBorder="1">
      <alignment/>
      <protection/>
    </xf>
    <xf numFmtId="43" fontId="3" fillId="34" borderId="18" xfId="47" applyNumberFormat="1" applyFont="1" applyFill="1" applyBorder="1">
      <alignment/>
      <protection/>
    </xf>
    <xf numFmtId="43" fontId="3" fillId="34" borderId="16" xfId="36" applyNumberFormat="1" applyFont="1" applyFill="1" applyBorder="1" applyAlignment="1">
      <alignment/>
    </xf>
    <xf numFmtId="0" fontId="3" fillId="0" borderId="16" xfId="47" applyFont="1" applyFill="1" applyBorder="1">
      <alignment/>
      <protection/>
    </xf>
    <xf numFmtId="43" fontId="3" fillId="0" borderId="16" xfId="36" applyNumberFormat="1" applyFont="1" applyFill="1" applyBorder="1" applyAlignment="1">
      <alignment/>
    </xf>
    <xf numFmtId="43" fontId="3" fillId="0" borderId="16" xfId="36" applyFont="1" applyFill="1" applyBorder="1" applyAlignment="1">
      <alignment/>
    </xf>
    <xf numFmtId="43" fontId="3" fillId="0" borderId="15" xfId="47" applyNumberFormat="1" applyFont="1" applyFill="1" applyBorder="1" applyAlignment="1">
      <alignment horizontal="center"/>
      <protection/>
    </xf>
    <xf numFmtId="0" fontId="3" fillId="35" borderId="11" xfId="47" applyFont="1" applyFill="1" applyBorder="1">
      <alignment/>
      <protection/>
    </xf>
    <xf numFmtId="43" fontId="3" fillId="35" borderId="11" xfId="36" applyNumberFormat="1" applyFont="1" applyFill="1" applyBorder="1" applyAlignment="1">
      <alignment/>
    </xf>
    <xf numFmtId="43" fontId="3" fillId="35" borderId="11" xfId="36" applyFont="1" applyFill="1" applyBorder="1" applyAlignment="1">
      <alignment/>
    </xf>
    <xf numFmtId="43" fontId="3" fillId="35" borderId="18" xfId="36" applyNumberFormat="1" applyFont="1" applyFill="1" applyBorder="1" applyAlignment="1">
      <alignment/>
    </xf>
    <xf numFmtId="43" fontId="3" fillId="35" borderId="18" xfId="47" applyNumberFormat="1" applyFont="1" applyFill="1" applyBorder="1" applyAlignment="1">
      <alignment horizontal="center"/>
      <protection/>
    </xf>
    <xf numFmtId="43" fontId="3" fillId="35" borderId="18" xfId="47" applyNumberFormat="1" applyFont="1" applyFill="1" applyBorder="1">
      <alignment/>
      <protection/>
    </xf>
    <xf numFmtId="0" fontId="3" fillId="0" borderId="19" xfId="47" applyFont="1" applyFill="1" applyBorder="1">
      <alignment/>
      <protection/>
    </xf>
    <xf numFmtId="43" fontId="3" fillId="0" borderId="19" xfId="36" applyNumberFormat="1" applyFont="1" applyFill="1" applyBorder="1" applyAlignment="1">
      <alignment/>
    </xf>
    <xf numFmtId="43" fontId="3" fillId="0" borderId="19" xfId="36" applyFont="1" applyFill="1" applyBorder="1" applyAlignment="1">
      <alignment/>
    </xf>
    <xf numFmtId="43" fontId="3" fillId="0" borderId="19" xfId="47" applyNumberFormat="1" applyFont="1" applyFill="1" applyBorder="1" applyAlignment="1">
      <alignment horizontal="center"/>
      <protection/>
    </xf>
    <xf numFmtId="43" fontId="3" fillId="0" borderId="19" xfId="47" applyNumberFormat="1" applyFont="1" applyFill="1" applyBorder="1">
      <alignment/>
      <protection/>
    </xf>
    <xf numFmtId="43" fontId="3" fillId="0" borderId="16" xfId="36" applyNumberFormat="1" applyFont="1" applyBorder="1" applyAlignment="1">
      <alignment/>
    </xf>
    <xf numFmtId="43" fontId="3" fillId="0" borderId="15" xfId="36" applyNumberFormat="1" applyFont="1" applyBorder="1" applyAlignment="1">
      <alignment/>
    </xf>
    <xf numFmtId="43" fontId="3" fillId="0" borderId="18" xfId="36" applyNumberFormat="1" applyFont="1" applyBorder="1" applyAlignment="1">
      <alignment/>
    </xf>
    <xf numFmtId="43" fontId="3" fillId="0" borderId="18" xfId="47" applyNumberFormat="1" applyFont="1" applyFill="1" applyBorder="1">
      <alignment/>
      <protection/>
    </xf>
    <xf numFmtId="43" fontId="3" fillId="0" borderId="16" xfId="47" applyNumberFormat="1" applyFont="1" applyFill="1" applyBorder="1">
      <alignment/>
      <protection/>
    </xf>
    <xf numFmtId="43" fontId="3" fillId="0" borderId="17" xfId="47" applyNumberFormat="1" applyFont="1" applyFill="1" applyBorder="1">
      <alignment/>
      <protection/>
    </xf>
    <xf numFmtId="43" fontId="3" fillId="0" borderId="15" xfId="47" applyNumberFormat="1" applyFont="1" applyFill="1" applyBorder="1">
      <alignment/>
      <protection/>
    </xf>
    <xf numFmtId="43" fontId="2" fillId="33" borderId="15" xfId="47" applyNumberFormat="1" applyFont="1" applyFill="1" applyBorder="1">
      <alignment/>
      <protection/>
    </xf>
    <xf numFmtId="0" fontId="3" fillId="35" borderId="15" xfId="47" applyFont="1" applyFill="1" applyBorder="1">
      <alignment/>
      <protection/>
    </xf>
    <xf numFmtId="43" fontId="3" fillId="35" borderId="15" xfId="47" applyNumberFormat="1" applyFont="1" applyFill="1" applyBorder="1">
      <alignment/>
      <protection/>
    </xf>
    <xf numFmtId="0" fontId="3" fillId="35" borderId="18" xfId="47" applyFont="1" applyFill="1" applyBorder="1">
      <alignment/>
      <protection/>
    </xf>
    <xf numFmtId="43" fontId="3" fillId="35" borderId="18" xfId="47" applyNumberFormat="1" applyFont="1" applyFill="1" applyBorder="1">
      <alignment/>
      <protection/>
    </xf>
    <xf numFmtId="43" fontId="3" fillId="0" borderId="18" xfId="36" applyFont="1" applyFill="1" applyBorder="1" applyAlignment="1">
      <alignment/>
    </xf>
    <xf numFmtId="0" fontId="3" fillId="35" borderId="18" xfId="47" applyFont="1" applyFill="1" applyBorder="1">
      <alignment/>
      <protection/>
    </xf>
    <xf numFmtId="43" fontId="3" fillId="35" borderId="16" xfId="47" applyNumberFormat="1" applyFont="1" applyFill="1" applyBorder="1">
      <alignment/>
      <protection/>
    </xf>
    <xf numFmtId="0" fontId="3" fillId="0" borderId="19" xfId="47" applyFont="1" applyBorder="1">
      <alignment/>
      <protection/>
    </xf>
    <xf numFmtId="43" fontId="3" fillId="0" borderId="19" xfId="47" applyNumberFormat="1" applyFont="1" applyBorder="1">
      <alignment/>
      <protection/>
    </xf>
    <xf numFmtId="0" fontId="2" fillId="33" borderId="16" xfId="47" applyFont="1" applyFill="1" applyBorder="1">
      <alignment/>
      <protection/>
    </xf>
    <xf numFmtId="43" fontId="2" fillId="33" borderId="16" xfId="36" applyFont="1" applyFill="1" applyBorder="1" applyAlignment="1">
      <alignment/>
    </xf>
    <xf numFmtId="43" fontId="2" fillId="33" borderId="15" xfId="47" applyNumberFormat="1" applyFont="1" applyFill="1" applyBorder="1">
      <alignment/>
      <protection/>
    </xf>
    <xf numFmtId="0" fontId="3" fillId="34" borderId="18" xfId="47" applyFont="1" applyFill="1" applyBorder="1">
      <alignment/>
      <protection/>
    </xf>
    <xf numFmtId="43" fontId="3" fillId="34" borderId="18" xfId="47" applyNumberFormat="1" applyFont="1" applyFill="1" applyBorder="1">
      <alignment/>
      <protection/>
    </xf>
    <xf numFmtId="0" fontId="4" fillId="0" borderId="0" xfId="47" applyFont="1">
      <alignment/>
      <protection/>
    </xf>
    <xf numFmtId="0" fontId="3" fillId="0" borderId="0" xfId="47" applyFont="1">
      <alignment/>
      <protection/>
    </xf>
    <xf numFmtId="0" fontId="3" fillId="34" borderId="15" xfId="47" applyFont="1" applyFill="1" applyBorder="1" applyAlignment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38" applyFont="1" applyBorder="1" applyAlignment="1">
      <alignment horizontal="center"/>
    </xf>
    <xf numFmtId="0" fontId="2" fillId="33" borderId="14" xfId="0" applyFont="1" applyFill="1" applyBorder="1" applyAlignment="1">
      <alignment/>
    </xf>
    <xf numFmtId="43" fontId="2" fillId="33" borderId="14" xfId="38" applyFont="1" applyFill="1" applyBorder="1" applyAlignment="1">
      <alignment/>
    </xf>
    <xf numFmtId="0" fontId="3" fillId="34" borderId="16" xfId="0" applyFont="1" applyFill="1" applyBorder="1" applyAlignment="1">
      <alignment/>
    </xf>
    <xf numFmtId="43" fontId="3" fillId="34" borderId="16" xfId="38" applyFont="1" applyFill="1" applyBorder="1" applyAlignment="1">
      <alignment/>
    </xf>
    <xf numFmtId="43" fontId="3" fillId="34" borderId="15" xfId="38" applyFont="1" applyFill="1" applyBorder="1" applyAlignment="1">
      <alignment horizontal="center"/>
    </xf>
    <xf numFmtId="43" fontId="3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43" fontId="3" fillId="0" borderId="15" xfId="0" applyNumberFormat="1" applyFont="1" applyBorder="1" applyAlignment="1">
      <alignment/>
    </xf>
    <xf numFmtId="43" fontId="3" fillId="0" borderId="15" xfId="38" applyFont="1" applyBorder="1" applyAlignment="1">
      <alignment horizontal="center"/>
    </xf>
    <xf numFmtId="0" fontId="3" fillId="0" borderId="15" xfId="0" applyFont="1" applyFill="1" applyBorder="1" applyAlignment="1">
      <alignment/>
    </xf>
    <xf numFmtId="43" fontId="3" fillId="0" borderId="15" xfId="0" applyNumberFormat="1" applyFont="1" applyFill="1" applyBorder="1" applyAlignment="1">
      <alignment/>
    </xf>
    <xf numFmtId="0" fontId="3" fillId="35" borderId="18" xfId="0" applyFont="1" applyFill="1" applyBorder="1" applyAlignment="1">
      <alignment/>
    </xf>
    <xf numFmtId="43" fontId="3" fillId="35" borderId="15" xfId="0" applyNumberFormat="1" applyFont="1" applyFill="1" applyBorder="1" applyAlignment="1">
      <alignment/>
    </xf>
    <xf numFmtId="43" fontId="3" fillId="35" borderId="15" xfId="38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43" fontId="2" fillId="33" borderId="15" xfId="38" applyFont="1" applyFill="1" applyBorder="1" applyAlignment="1">
      <alignment/>
    </xf>
    <xf numFmtId="43" fontId="3" fillId="34" borderId="15" xfId="38" applyNumberFormat="1" applyFont="1" applyFill="1" applyBorder="1" applyAlignment="1">
      <alignment/>
    </xf>
    <xf numFmtId="43" fontId="3" fillId="0" borderId="15" xfId="0" applyNumberFormat="1" applyFont="1" applyBorder="1" applyAlignment="1">
      <alignment horizontal="center"/>
    </xf>
    <xf numFmtId="0" fontId="3" fillId="36" borderId="18" xfId="0" applyFont="1" applyFill="1" applyBorder="1" applyAlignment="1">
      <alignment/>
    </xf>
    <xf numFmtId="43" fontId="3" fillId="36" borderId="15" xfId="0" applyNumberFormat="1" applyFont="1" applyFill="1" applyBorder="1" applyAlignment="1">
      <alignment/>
    </xf>
    <xf numFmtId="43" fontId="3" fillId="36" borderId="15" xfId="38" applyFont="1" applyFill="1" applyBorder="1" applyAlignment="1">
      <alignment horizontal="center"/>
    </xf>
    <xf numFmtId="43" fontId="3" fillId="36" borderId="15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35" borderId="15" xfId="0" applyFont="1" applyFill="1" applyBorder="1" applyAlignment="1">
      <alignment/>
    </xf>
    <xf numFmtId="43" fontId="3" fillId="34" borderId="15" xfId="38" applyFont="1" applyFill="1" applyBorder="1" applyAlignment="1">
      <alignment/>
    </xf>
    <xf numFmtId="43" fontId="3" fillId="0" borderId="15" xfId="38" applyFont="1" applyFill="1" applyBorder="1" applyAlignment="1">
      <alignment horizontal="center"/>
    </xf>
    <xf numFmtId="0" fontId="3" fillId="36" borderId="17" xfId="0" applyFont="1" applyFill="1" applyBorder="1" applyAlignment="1">
      <alignment/>
    </xf>
    <xf numFmtId="43" fontId="3" fillId="36" borderId="17" xfId="0" applyNumberFormat="1" applyFont="1" applyFill="1" applyBorder="1" applyAlignment="1">
      <alignment/>
    </xf>
    <xf numFmtId="43" fontId="3" fillId="36" borderId="17" xfId="38" applyFont="1" applyFill="1" applyBorder="1" applyAlignment="1">
      <alignment horizontal="center"/>
    </xf>
    <xf numFmtId="43" fontId="3" fillId="36" borderId="17" xfId="38" applyFont="1" applyFill="1" applyBorder="1" applyAlignment="1">
      <alignment/>
    </xf>
    <xf numFmtId="43" fontId="3" fillId="34" borderId="16" xfId="38" applyNumberFormat="1" applyFont="1" applyFill="1" applyBorder="1" applyAlignment="1">
      <alignment/>
    </xf>
    <xf numFmtId="43" fontId="3" fillId="0" borderId="15" xfId="38" applyFont="1" applyFill="1" applyBorder="1" applyAlignment="1">
      <alignment/>
    </xf>
    <xf numFmtId="43" fontId="3" fillId="0" borderId="15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43" fontId="3" fillId="36" borderId="15" xfId="38" applyFont="1" applyFill="1" applyBorder="1" applyAlignment="1">
      <alignment/>
    </xf>
    <xf numFmtId="43" fontId="3" fillId="35" borderId="15" xfId="38" applyFont="1" applyFill="1" applyBorder="1" applyAlignment="1">
      <alignment/>
    </xf>
    <xf numFmtId="43" fontId="3" fillId="35" borderId="15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/>
    </xf>
    <xf numFmtId="43" fontId="3" fillId="0" borderId="18" xfId="38" applyFont="1" applyFill="1" applyBorder="1" applyAlignment="1">
      <alignment horizontal="center"/>
    </xf>
    <xf numFmtId="43" fontId="3" fillId="0" borderId="18" xfId="38" applyFont="1" applyFill="1" applyBorder="1" applyAlignment="1">
      <alignment/>
    </xf>
    <xf numFmtId="43" fontId="3" fillId="0" borderId="18" xfId="0" applyNumberFormat="1" applyFont="1" applyBorder="1" applyAlignment="1">
      <alignment/>
    </xf>
    <xf numFmtId="43" fontId="3" fillId="35" borderId="18" xfId="0" applyNumberFormat="1" applyFont="1" applyFill="1" applyBorder="1" applyAlignment="1">
      <alignment/>
    </xf>
    <xf numFmtId="43" fontId="3" fillId="35" borderId="18" xfId="38" applyFont="1" applyFill="1" applyBorder="1" applyAlignment="1">
      <alignment horizontal="center"/>
    </xf>
    <xf numFmtId="43" fontId="3" fillId="35" borderId="18" xfId="38" applyFont="1" applyFill="1" applyBorder="1" applyAlignment="1">
      <alignment/>
    </xf>
    <xf numFmtId="0" fontId="3" fillId="0" borderId="19" xfId="0" applyFont="1" applyFill="1" applyBorder="1" applyAlignment="1">
      <alignment/>
    </xf>
    <xf numFmtId="43" fontId="3" fillId="0" borderId="19" xfId="0" applyNumberFormat="1" applyFont="1" applyFill="1" applyBorder="1" applyAlignment="1">
      <alignment/>
    </xf>
    <xf numFmtId="43" fontId="3" fillId="0" borderId="19" xfId="38" applyFont="1" applyFill="1" applyBorder="1" applyAlignment="1">
      <alignment horizontal="center"/>
    </xf>
    <xf numFmtId="43" fontId="3" fillId="0" borderId="19" xfId="38" applyFont="1" applyFill="1" applyBorder="1" applyAlignment="1">
      <alignment/>
    </xf>
    <xf numFmtId="0" fontId="2" fillId="33" borderId="16" xfId="0" applyFont="1" applyFill="1" applyBorder="1" applyAlignment="1">
      <alignment/>
    </xf>
    <xf numFmtId="43" fontId="2" fillId="33" borderId="16" xfId="38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43" fontId="3" fillId="34" borderId="18" xfId="0" applyNumberFormat="1" applyFont="1" applyFill="1" applyBorder="1" applyAlignment="1">
      <alignment/>
    </xf>
    <xf numFmtId="43" fontId="3" fillId="34" borderId="18" xfId="38" applyFont="1" applyFill="1" applyBorder="1" applyAlignment="1">
      <alignment horizontal="center"/>
    </xf>
    <xf numFmtId="43" fontId="3" fillId="34" borderId="18" xfId="38" applyNumberFormat="1" applyFont="1" applyFill="1" applyBorder="1" applyAlignment="1">
      <alignment/>
    </xf>
    <xf numFmtId="43" fontId="3" fillId="34" borderId="18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43" fontId="2" fillId="33" borderId="15" xfId="0" applyNumberFormat="1" applyFont="1" applyFill="1" applyBorder="1" applyAlignment="1">
      <alignment/>
    </xf>
    <xf numFmtId="43" fontId="3" fillId="0" borderId="15" xfId="38" applyNumberFormat="1" applyFont="1" applyFill="1" applyBorder="1" applyAlignment="1">
      <alignment/>
    </xf>
    <xf numFmtId="43" fontId="3" fillId="35" borderId="15" xfId="38" applyNumberFormat="1" applyFont="1" applyFill="1" applyBorder="1" applyAlignment="1">
      <alignment/>
    </xf>
    <xf numFmtId="43" fontId="3" fillId="35" borderId="18" xfId="38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43" fontId="3" fillId="0" borderId="18" xfId="38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43" fontId="3" fillId="0" borderId="17" xfId="0" applyNumberFormat="1" applyFont="1" applyBorder="1" applyAlignment="1">
      <alignment/>
    </xf>
    <xf numFmtId="43" fontId="3" fillId="0" borderId="17" xfId="38" applyFont="1" applyBorder="1" applyAlignment="1">
      <alignment horizontal="center"/>
    </xf>
    <xf numFmtId="43" fontId="3" fillId="0" borderId="17" xfId="38" applyNumberFormat="1" applyFont="1" applyFill="1" applyBorder="1" applyAlignment="1">
      <alignment/>
    </xf>
    <xf numFmtId="43" fontId="3" fillId="0" borderId="17" xfId="0" applyNumberFormat="1" applyFont="1" applyFill="1" applyBorder="1" applyAlignment="1">
      <alignment/>
    </xf>
    <xf numFmtId="43" fontId="3" fillId="34" borderId="15" xfId="0" applyNumberFormat="1" applyFont="1" applyFill="1" applyBorder="1" applyAlignment="1">
      <alignment horizontal="center"/>
    </xf>
    <xf numFmtId="43" fontId="2" fillId="33" borderId="15" xfId="0" applyNumberFormat="1" applyFont="1" applyFill="1" applyBorder="1" applyAlignment="1">
      <alignment/>
    </xf>
    <xf numFmtId="0" fontId="3" fillId="35" borderId="17" xfId="0" applyFont="1" applyFill="1" applyBorder="1" applyAlignment="1">
      <alignment/>
    </xf>
    <xf numFmtId="43" fontId="3" fillId="35" borderId="17" xfId="0" applyNumberFormat="1" applyFont="1" applyFill="1" applyBorder="1" applyAlignment="1">
      <alignment/>
    </xf>
    <xf numFmtId="43" fontId="3" fillId="35" borderId="17" xfId="38" applyFont="1" applyFill="1" applyBorder="1" applyAlignment="1">
      <alignment horizontal="center"/>
    </xf>
    <xf numFmtId="43" fontId="3" fillId="35" borderId="17" xfId="38" applyFont="1" applyFill="1" applyBorder="1" applyAlignment="1">
      <alignment/>
    </xf>
    <xf numFmtId="43" fontId="2" fillId="33" borderId="16" xfId="38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34" borderId="15" xfId="47" applyFont="1" applyFill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0" xfId="47" applyFont="1" applyBorder="1" applyAlignment="1">
      <alignment horizontal="center"/>
      <protection/>
    </xf>
    <xf numFmtId="17" fontId="7" fillId="0" borderId="10" xfId="47" applyNumberFormat="1" applyFont="1" applyBorder="1" applyAlignment="1">
      <alignment horizontal="center"/>
      <protection/>
    </xf>
    <xf numFmtId="0" fontId="7" fillId="0" borderId="10" xfId="47" applyFont="1" applyBorder="1" applyAlignment="1">
      <alignment horizontal="center"/>
      <protection/>
    </xf>
    <xf numFmtId="0" fontId="7" fillId="33" borderId="14" xfId="47" applyFont="1" applyFill="1" applyBorder="1">
      <alignment/>
      <protection/>
    </xf>
    <xf numFmtId="43" fontId="7" fillId="33" borderId="14" xfId="36" applyFont="1" applyFill="1" applyBorder="1" applyAlignment="1">
      <alignment/>
    </xf>
    <xf numFmtId="0" fontId="7" fillId="34" borderId="15" xfId="47" applyFont="1" applyFill="1" applyBorder="1" applyAlignment="1">
      <alignment horizontal="center"/>
      <protection/>
    </xf>
    <xf numFmtId="43" fontId="7" fillId="34" borderId="15" xfId="47" applyNumberFormat="1" applyFont="1" applyFill="1" applyBorder="1">
      <alignment/>
      <protection/>
    </xf>
    <xf numFmtId="43" fontId="7" fillId="34" borderId="15" xfId="36" applyFont="1" applyFill="1" applyBorder="1" applyAlignment="1">
      <alignment/>
    </xf>
    <xf numFmtId="0" fontId="7" fillId="34" borderId="15" xfId="47" applyFont="1" applyFill="1" applyBorder="1" applyAlignment="1">
      <alignment horizontal="left"/>
      <protection/>
    </xf>
    <xf numFmtId="0" fontId="7" fillId="33" borderId="15" xfId="47" applyFont="1" applyFill="1" applyBorder="1" applyAlignment="1">
      <alignment horizontal="left"/>
      <protection/>
    </xf>
    <xf numFmtId="43" fontId="7" fillId="33" borderId="15" xfId="36" applyFont="1" applyFill="1" applyBorder="1" applyAlignment="1">
      <alignment/>
    </xf>
    <xf numFmtId="0" fontId="7" fillId="33" borderId="15" xfId="47" applyFont="1" applyFill="1" applyBorder="1">
      <alignment/>
      <protection/>
    </xf>
    <xf numFmtId="0" fontId="7" fillId="34" borderId="15" xfId="47" applyFont="1" applyFill="1" applyBorder="1">
      <alignment/>
      <protection/>
    </xf>
    <xf numFmtId="43" fontId="7" fillId="33" borderId="15" xfId="36" applyNumberFormat="1" applyFont="1" applyFill="1" applyBorder="1" applyAlignment="1">
      <alignment/>
    </xf>
    <xf numFmtId="43" fontId="7" fillId="34" borderId="15" xfId="36" applyNumberFormat="1" applyFont="1" applyFill="1" applyBorder="1" applyAlignment="1">
      <alignment/>
    </xf>
    <xf numFmtId="0" fontId="7" fillId="34" borderId="16" xfId="47" applyFont="1" applyFill="1" applyBorder="1" applyAlignment="1">
      <alignment horizontal="center"/>
      <protection/>
    </xf>
    <xf numFmtId="43" fontId="7" fillId="34" borderId="16" xfId="36" applyFont="1" applyFill="1" applyBorder="1" applyAlignment="1">
      <alignment/>
    </xf>
    <xf numFmtId="0" fontId="7" fillId="34" borderId="16" xfId="47" applyFont="1" applyFill="1" applyBorder="1">
      <alignment/>
      <protection/>
    </xf>
    <xf numFmtId="0" fontId="7" fillId="34" borderId="17" xfId="47" applyFont="1" applyFill="1" applyBorder="1" applyAlignment="1">
      <alignment horizontal="center"/>
      <protection/>
    </xf>
    <xf numFmtId="43" fontId="7" fillId="34" borderId="17" xfId="36" applyFont="1" applyFill="1" applyBorder="1" applyAlignment="1">
      <alignment/>
    </xf>
    <xf numFmtId="0" fontId="7" fillId="34" borderId="17" xfId="47" applyFont="1" applyFill="1" applyBorder="1">
      <alignment/>
      <protection/>
    </xf>
    <xf numFmtId="0" fontId="0" fillId="0" borderId="0" xfId="0" applyFont="1" applyAlignment="1">
      <alignment horizontal="left"/>
    </xf>
    <xf numFmtId="0" fontId="7" fillId="37" borderId="0" xfId="47" applyFont="1" applyFill="1" applyBorder="1" applyAlignment="1">
      <alignment horizontal="center"/>
      <protection/>
    </xf>
    <xf numFmtId="43" fontId="7" fillId="37" borderId="0" xfId="36" applyFont="1" applyFill="1" applyBorder="1" applyAlignment="1">
      <alignment/>
    </xf>
    <xf numFmtId="0" fontId="7" fillId="37" borderId="0" xfId="47" applyFont="1" applyFill="1" applyBorder="1">
      <alignment/>
      <protection/>
    </xf>
    <xf numFmtId="0" fontId="8" fillId="34" borderId="16" xfId="47" applyFont="1" applyFill="1" applyBorder="1">
      <alignment/>
      <protection/>
    </xf>
    <xf numFmtId="0" fontId="9" fillId="34" borderId="15" xfId="47" applyFont="1" applyFill="1" applyBorder="1">
      <alignment/>
      <protection/>
    </xf>
    <xf numFmtId="0" fontId="3" fillId="0" borderId="0" xfId="47" applyFont="1">
      <alignment/>
      <protection/>
    </xf>
    <xf numFmtId="43" fontId="12" fillId="0" borderId="15" xfId="47" applyNumberFormat="1" applyFont="1" applyBorder="1">
      <alignment/>
      <protection/>
    </xf>
    <xf numFmtId="43" fontId="12" fillId="35" borderId="15" xfId="47" applyNumberFormat="1" applyFont="1" applyFill="1" applyBorder="1">
      <alignment/>
      <protection/>
    </xf>
    <xf numFmtId="43" fontId="12" fillId="0" borderId="15" xfId="47" applyNumberFormat="1" applyFont="1" applyFill="1" applyBorder="1">
      <alignment/>
      <protection/>
    </xf>
    <xf numFmtId="0" fontId="3" fillId="0" borderId="0" xfId="47" applyFont="1" applyBorder="1">
      <alignment/>
      <protection/>
    </xf>
    <xf numFmtId="43" fontId="3" fillId="0" borderId="0" xfId="47" applyNumberFormat="1" applyFont="1" applyBorder="1">
      <alignment/>
      <protection/>
    </xf>
    <xf numFmtId="43" fontId="3" fillId="0" borderId="0" xfId="36" applyFont="1" applyFill="1" applyBorder="1" applyAlignment="1">
      <alignment/>
    </xf>
    <xf numFmtId="43" fontId="3" fillId="0" borderId="0" xfId="47" applyNumberFormat="1" applyFont="1" applyFill="1" applyBorder="1">
      <alignment/>
      <protection/>
    </xf>
    <xf numFmtId="43" fontId="2" fillId="0" borderId="10" xfId="36" applyFont="1" applyBorder="1" applyAlignment="1">
      <alignment horizontal="center"/>
    </xf>
    <xf numFmtId="0" fontId="3" fillId="37" borderId="0" xfId="0" applyFont="1" applyFill="1" applyAlignment="1">
      <alignment/>
    </xf>
    <xf numFmtId="0" fontId="2" fillId="37" borderId="10" xfId="47" applyFont="1" applyFill="1" applyBorder="1" applyAlignment="1">
      <alignment horizontal="center"/>
      <protection/>
    </xf>
    <xf numFmtId="0" fontId="2" fillId="37" borderId="10" xfId="47" applyFont="1" applyFill="1" applyBorder="1">
      <alignment/>
      <protection/>
    </xf>
    <xf numFmtId="0" fontId="2" fillId="37" borderId="11" xfId="47" applyFont="1" applyFill="1" applyBorder="1" applyAlignment="1">
      <alignment horizontal="center"/>
      <protection/>
    </xf>
    <xf numFmtId="0" fontId="2" fillId="37" borderId="11" xfId="47" applyFont="1" applyFill="1" applyBorder="1" applyAlignment="1">
      <alignment horizontal="center"/>
      <protection/>
    </xf>
    <xf numFmtId="0" fontId="2" fillId="37" borderId="12" xfId="47" applyFont="1" applyFill="1" applyBorder="1" applyAlignment="1">
      <alignment horizontal="center"/>
      <protection/>
    </xf>
    <xf numFmtId="0" fontId="2" fillId="37" borderId="12" xfId="47" applyFont="1" applyFill="1" applyBorder="1" applyAlignment="1">
      <alignment horizontal="center"/>
      <protection/>
    </xf>
    <xf numFmtId="0" fontId="2" fillId="37" borderId="12" xfId="47" applyFont="1" applyFill="1" applyBorder="1">
      <alignment/>
      <protection/>
    </xf>
    <xf numFmtId="43" fontId="3" fillId="37" borderId="15" xfId="47" applyNumberFormat="1" applyFont="1" applyFill="1" applyBorder="1">
      <alignment/>
      <protection/>
    </xf>
    <xf numFmtId="43" fontId="3" fillId="37" borderId="15" xfId="47" applyNumberFormat="1" applyFont="1" applyFill="1" applyBorder="1">
      <alignment/>
      <protection/>
    </xf>
    <xf numFmtId="0" fontId="3" fillId="37" borderId="0" xfId="47" applyFont="1" applyFill="1" applyBorder="1">
      <alignment/>
      <protection/>
    </xf>
    <xf numFmtId="43" fontId="3" fillId="37" borderId="0" xfId="47" applyNumberFormat="1" applyFont="1" applyFill="1" applyBorder="1">
      <alignment/>
      <protection/>
    </xf>
    <xf numFmtId="43" fontId="3" fillId="37" borderId="0" xfId="36" applyFont="1" applyFill="1" applyBorder="1" applyAlignment="1">
      <alignment/>
    </xf>
    <xf numFmtId="0" fontId="4" fillId="37" borderId="0" xfId="47" applyFont="1" applyFill="1">
      <alignment/>
      <protection/>
    </xf>
    <xf numFmtId="0" fontId="3" fillId="37" borderId="0" xfId="47" applyFont="1" applyFill="1">
      <alignment/>
      <protection/>
    </xf>
    <xf numFmtId="0" fontId="3" fillId="37" borderId="0" xfId="47" applyFont="1" applyFill="1">
      <alignment/>
      <protection/>
    </xf>
    <xf numFmtId="0" fontId="0" fillId="37" borderId="0" xfId="0" applyFill="1" applyAlignment="1">
      <alignment/>
    </xf>
    <xf numFmtId="0" fontId="13" fillId="34" borderId="15" xfId="47" applyFont="1" applyFill="1" applyBorder="1">
      <alignment/>
      <protection/>
    </xf>
    <xf numFmtId="0" fontId="13" fillId="0" borderId="15" xfId="47" applyFont="1" applyBorder="1">
      <alignment/>
      <protection/>
    </xf>
    <xf numFmtId="0" fontId="13" fillId="35" borderId="15" xfId="47" applyFont="1" applyFill="1" applyBorder="1">
      <alignment/>
      <protection/>
    </xf>
    <xf numFmtId="0" fontId="13" fillId="36" borderId="15" xfId="47" applyFont="1" applyFill="1" applyBorder="1">
      <alignment/>
      <protection/>
    </xf>
    <xf numFmtId="0" fontId="2" fillId="37" borderId="21" xfId="47" applyFont="1" applyFill="1" applyBorder="1" applyAlignment="1">
      <alignment horizontal="left"/>
      <protection/>
    </xf>
    <xf numFmtId="0" fontId="2" fillId="37" borderId="21" xfId="47" applyFont="1" applyFill="1" applyBorder="1">
      <alignment/>
      <protection/>
    </xf>
    <xf numFmtId="0" fontId="3" fillId="37" borderId="21" xfId="47" applyFont="1" applyFill="1" applyBorder="1" applyAlignment="1">
      <alignment horizontal="left"/>
      <protection/>
    </xf>
    <xf numFmtId="0" fontId="3" fillId="37" borderId="21" xfId="47" applyFont="1" applyFill="1" applyBorder="1">
      <alignment/>
      <protection/>
    </xf>
    <xf numFmtId="0" fontId="2" fillId="37" borderId="21" xfId="0" applyFont="1" applyFill="1" applyBorder="1" applyAlignment="1">
      <alignment horizontal="center"/>
    </xf>
    <xf numFmtId="0" fontId="3" fillId="37" borderId="21" xfId="47" applyFont="1" applyFill="1" applyBorder="1" applyAlignment="1">
      <alignment horizontal="center"/>
      <protection/>
    </xf>
    <xf numFmtId="0" fontId="2" fillId="37" borderId="22" xfId="47" applyFont="1" applyFill="1" applyBorder="1" applyAlignment="1">
      <alignment horizontal="center"/>
      <protection/>
    </xf>
    <xf numFmtId="0" fontId="2" fillId="37" borderId="23" xfId="47" applyFont="1" applyFill="1" applyBorder="1">
      <alignment/>
      <protection/>
    </xf>
    <xf numFmtId="0" fontId="3" fillId="37" borderId="23" xfId="47" applyFont="1" applyFill="1" applyBorder="1" applyAlignment="1">
      <alignment horizontal="left"/>
      <protection/>
    </xf>
    <xf numFmtId="0" fontId="3" fillId="37" borderId="23" xfId="47" applyFont="1" applyFill="1" applyBorder="1">
      <alignment/>
      <protection/>
    </xf>
    <xf numFmtId="0" fontId="3" fillId="0" borderId="23" xfId="47" applyFont="1" applyBorder="1">
      <alignment/>
      <protection/>
    </xf>
    <xf numFmtId="0" fontId="3" fillId="37" borderId="24" xfId="47" applyFont="1" applyFill="1" applyBorder="1">
      <alignment/>
      <protection/>
    </xf>
    <xf numFmtId="0" fontId="3" fillId="37" borderId="25" xfId="47" applyFont="1" applyFill="1" applyBorder="1">
      <alignment/>
      <protection/>
    </xf>
    <xf numFmtId="43" fontId="3" fillId="37" borderId="17" xfId="47" applyNumberFormat="1" applyFont="1" applyFill="1" applyBorder="1">
      <alignment/>
      <protection/>
    </xf>
    <xf numFmtId="0" fontId="2" fillId="37" borderId="24" xfId="47" applyFont="1" applyFill="1" applyBorder="1">
      <alignment/>
      <protection/>
    </xf>
    <xf numFmtId="0" fontId="2" fillId="38" borderId="21" xfId="47" applyFont="1" applyFill="1" applyBorder="1">
      <alignment/>
      <protection/>
    </xf>
    <xf numFmtId="0" fontId="2" fillId="38" borderId="23" xfId="47" applyFont="1" applyFill="1" applyBorder="1">
      <alignment/>
      <protection/>
    </xf>
    <xf numFmtId="0" fontId="3" fillId="37" borderId="21" xfId="0" applyFont="1" applyFill="1" applyBorder="1" applyAlignment="1">
      <alignment/>
    </xf>
    <xf numFmtId="0" fontId="3" fillId="37" borderId="23" xfId="0" applyFont="1" applyFill="1" applyBorder="1" applyAlignment="1">
      <alignment/>
    </xf>
    <xf numFmtId="0" fontId="3" fillId="37" borderId="21" xfId="0" applyFont="1" applyFill="1" applyBorder="1" applyAlignment="1">
      <alignment horizontal="center"/>
    </xf>
    <xf numFmtId="0" fontId="3" fillId="37" borderId="15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43" fontId="10" fillId="38" borderId="26" xfId="36" applyFont="1" applyFill="1" applyBorder="1" applyAlignment="1">
      <alignment/>
    </xf>
    <xf numFmtId="43" fontId="11" fillId="37" borderId="15" xfId="47" applyNumberFormat="1" applyFont="1" applyFill="1" applyBorder="1">
      <alignment/>
      <protection/>
    </xf>
    <xf numFmtId="43" fontId="11" fillId="37" borderId="15" xfId="36" applyFont="1" applyFill="1" applyBorder="1" applyAlignment="1">
      <alignment/>
    </xf>
    <xf numFmtId="43" fontId="11" fillId="37" borderId="26" xfId="47" applyNumberFormat="1" applyFont="1" applyFill="1" applyBorder="1">
      <alignment/>
      <protection/>
    </xf>
    <xf numFmtId="43" fontId="11" fillId="0" borderId="15" xfId="47" applyNumberFormat="1" applyFont="1" applyBorder="1">
      <alignment/>
      <protection/>
    </xf>
    <xf numFmtId="43" fontId="14" fillId="37" borderId="15" xfId="47" applyNumberFormat="1" applyFont="1" applyFill="1" applyBorder="1">
      <alignment/>
      <protection/>
    </xf>
    <xf numFmtId="43" fontId="11" fillId="37" borderId="26" xfId="36" applyFont="1" applyFill="1" applyBorder="1" applyAlignment="1">
      <alignment/>
    </xf>
    <xf numFmtId="43" fontId="11" fillId="37" borderId="15" xfId="36" applyFont="1" applyFill="1" applyBorder="1" applyAlignment="1">
      <alignment horizontal="center"/>
    </xf>
    <xf numFmtId="43" fontId="11" fillId="0" borderId="15" xfId="47" applyNumberFormat="1" applyFont="1" applyBorder="1" applyAlignment="1">
      <alignment horizontal="center"/>
      <protection/>
    </xf>
    <xf numFmtId="43" fontId="11" fillId="37" borderId="15" xfId="47" applyNumberFormat="1" applyFont="1" applyFill="1" applyBorder="1" applyAlignment="1">
      <alignment horizontal="center"/>
      <protection/>
    </xf>
    <xf numFmtId="43" fontId="11" fillId="37" borderId="26" xfId="47" applyNumberFormat="1" applyFont="1" applyFill="1" applyBorder="1" applyAlignment="1">
      <alignment horizontal="center"/>
      <protection/>
    </xf>
    <xf numFmtId="43" fontId="10" fillId="38" borderId="26" xfId="36" applyNumberFormat="1" applyFont="1" applyFill="1" applyBorder="1" applyAlignment="1">
      <alignment/>
    </xf>
    <xf numFmtId="43" fontId="11" fillId="37" borderId="15" xfId="36" applyNumberFormat="1" applyFont="1" applyFill="1" applyBorder="1" applyAlignment="1">
      <alignment/>
    </xf>
    <xf numFmtId="43" fontId="11" fillId="37" borderId="26" xfId="36" applyNumberFormat="1" applyFont="1" applyFill="1" applyBorder="1" applyAlignment="1">
      <alignment/>
    </xf>
    <xf numFmtId="43" fontId="10" fillId="38" borderId="26" xfId="47" applyNumberFormat="1" applyFont="1" applyFill="1" applyBorder="1">
      <alignment/>
      <protection/>
    </xf>
    <xf numFmtId="43" fontId="10" fillId="37" borderId="26" xfId="47" applyNumberFormat="1" applyFont="1" applyFill="1" applyBorder="1">
      <alignment/>
      <protection/>
    </xf>
    <xf numFmtId="43" fontId="10" fillId="37" borderId="15" xfId="47" applyNumberFormat="1" applyFont="1" applyFill="1" applyBorder="1">
      <alignment/>
      <protection/>
    </xf>
    <xf numFmtId="43" fontId="11" fillId="37" borderId="17" xfId="47" applyNumberFormat="1" applyFont="1" applyFill="1" applyBorder="1">
      <alignment/>
      <protection/>
    </xf>
    <xf numFmtId="43" fontId="11" fillId="37" borderId="17" xfId="36" applyFont="1" applyFill="1" applyBorder="1" applyAlignment="1">
      <alignment/>
    </xf>
    <xf numFmtId="43" fontId="10" fillId="37" borderId="17" xfId="47" applyNumberFormat="1" applyFont="1" applyFill="1" applyBorder="1">
      <alignment/>
      <protection/>
    </xf>
    <xf numFmtId="43" fontId="11" fillId="37" borderId="15" xfId="47" applyNumberFormat="1" applyFont="1" applyFill="1" applyBorder="1">
      <alignment/>
      <protection/>
    </xf>
    <xf numFmtId="43" fontId="11" fillId="37" borderId="15" xfId="36" applyFont="1" applyFill="1" applyBorder="1" applyAlignment="1">
      <alignment/>
    </xf>
    <xf numFmtId="43" fontId="11" fillId="37" borderId="15" xfId="36" applyNumberFormat="1" applyFont="1" applyFill="1" applyBorder="1" applyAlignment="1">
      <alignment/>
    </xf>
    <xf numFmtId="43" fontId="11" fillId="37" borderId="26" xfId="47" applyNumberFormat="1" applyFont="1" applyFill="1" applyBorder="1">
      <alignment/>
      <protection/>
    </xf>
    <xf numFmtId="43" fontId="11" fillId="0" borderId="15" xfId="47" applyNumberFormat="1" applyFont="1" applyBorder="1">
      <alignment/>
      <protection/>
    </xf>
    <xf numFmtId="0" fontId="3" fillId="35" borderId="21" xfId="0" applyFont="1" applyFill="1" applyBorder="1" applyAlignment="1">
      <alignment/>
    </xf>
    <xf numFmtId="0" fontId="3" fillId="35" borderId="21" xfId="47" applyFont="1" applyFill="1" applyBorder="1">
      <alignment/>
      <protection/>
    </xf>
    <xf numFmtId="0" fontId="3" fillId="35" borderId="23" xfId="0" applyFont="1" applyFill="1" applyBorder="1" applyAlignment="1">
      <alignment/>
    </xf>
    <xf numFmtId="43" fontId="11" fillId="35" borderId="26" xfId="47" applyNumberFormat="1" applyFont="1" applyFill="1" applyBorder="1">
      <alignment/>
      <protection/>
    </xf>
    <xf numFmtId="43" fontId="11" fillId="35" borderId="15" xfId="47" applyNumberFormat="1" applyFont="1" applyFill="1" applyBorder="1">
      <alignment/>
      <protection/>
    </xf>
    <xf numFmtId="43" fontId="11" fillId="35" borderId="15" xfId="36" applyFont="1" applyFill="1" applyBorder="1" applyAlignment="1">
      <alignment/>
    </xf>
    <xf numFmtId="43" fontId="14" fillId="35" borderId="15" xfId="47" applyNumberFormat="1" applyFont="1" applyFill="1" applyBorder="1">
      <alignment/>
      <protection/>
    </xf>
    <xf numFmtId="0" fontId="3" fillId="35" borderId="21" xfId="0" applyFont="1" applyFill="1" applyBorder="1" applyAlignment="1">
      <alignment horizontal="center"/>
    </xf>
    <xf numFmtId="0" fontId="3" fillId="35" borderId="23" xfId="47" applyFont="1" applyFill="1" applyBorder="1">
      <alignment/>
      <protection/>
    </xf>
    <xf numFmtId="43" fontId="11" fillId="35" borderId="26" xfId="36" applyFont="1" applyFill="1" applyBorder="1" applyAlignment="1">
      <alignment/>
    </xf>
    <xf numFmtId="0" fontId="3" fillId="35" borderId="21" xfId="47" applyFont="1" applyFill="1" applyBorder="1" applyAlignment="1">
      <alignment horizontal="left"/>
      <protection/>
    </xf>
    <xf numFmtId="43" fontId="11" fillId="35" borderId="15" xfId="36" applyFont="1" applyFill="1" applyBorder="1" applyAlignment="1">
      <alignment horizontal="center"/>
    </xf>
    <xf numFmtId="0" fontId="3" fillId="35" borderId="21" xfId="47" applyFont="1" applyFill="1" applyBorder="1" applyAlignment="1">
      <alignment horizontal="center"/>
      <protection/>
    </xf>
    <xf numFmtId="0" fontId="3" fillId="35" borderId="0" xfId="0" applyFont="1" applyFill="1" applyAlignment="1">
      <alignment/>
    </xf>
    <xf numFmtId="43" fontId="11" fillId="35" borderId="26" xfId="36" applyNumberFormat="1" applyFont="1" applyFill="1" applyBorder="1" applyAlignment="1">
      <alignment/>
    </xf>
    <xf numFmtId="43" fontId="11" fillId="35" borderId="15" xfId="36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39" borderId="21" xfId="0" applyFont="1" applyFill="1" applyBorder="1" applyAlignment="1">
      <alignment/>
    </xf>
    <xf numFmtId="0" fontId="3" fillId="39" borderId="21" xfId="0" applyFont="1" applyFill="1" applyBorder="1" applyAlignment="1">
      <alignment horizontal="center"/>
    </xf>
    <xf numFmtId="0" fontId="3" fillId="39" borderId="23" xfId="47" applyFont="1" applyFill="1" applyBorder="1">
      <alignment/>
      <protection/>
    </xf>
    <xf numFmtId="43" fontId="11" fillId="39" borderId="15" xfId="47" applyNumberFormat="1" applyFont="1" applyFill="1" applyBorder="1">
      <alignment/>
      <protection/>
    </xf>
    <xf numFmtId="43" fontId="11" fillId="39" borderId="15" xfId="36" applyFont="1" applyFill="1" applyBorder="1" applyAlignment="1">
      <alignment/>
    </xf>
    <xf numFmtId="0" fontId="3" fillId="39" borderId="21" xfId="47" applyFont="1" applyFill="1" applyBorder="1" applyAlignment="1">
      <alignment horizontal="left"/>
      <protection/>
    </xf>
    <xf numFmtId="43" fontId="11" fillId="39" borderId="15" xfId="36" applyFont="1" applyFill="1" applyBorder="1" applyAlignment="1">
      <alignment horizontal="center"/>
    </xf>
    <xf numFmtId="43" fontId="11" fillId="39" borderId="15" xfId="47" applyNumberFormat="1" applyFont="1" applyFill="1" applyBorder="1" applyAlignment="1">
      <alignment horizontal="center"/>
      <protection/>
    </xf>
    <xf numFmtId="0" fontId="3" fillId="39" borderId="21" xfId="47" applyFont="1" applyFill="1" applyBorder="1">
      <alignment/>
      <protection/>
    </xf>
    <xf numFmtId="0" fontId="3" fillId="39" borderId="21" xfId="47" applyFont="1" applyFill="1" applyBorder="1" applyAlignment="1">
      <alignment horizontal="center"/>
      <protection/>
    </xf>
    <xf numFmtId="0" fontId="3" fillId="40" borderId="0" xfId="45" applyFont="1" applyFill="1">
      <alignment/>
      <protection/>
    </xf>
    <xf numFmtId="0" fontId="2" fillId="40" borderId="10" xfId="47" applyFont="1" applyFill="1" applyBorder="1" applyAlignment="1">
      <alignment horizontal="center"/>
      <protection/>
    </xf>
    <xf numFmtId="0" fontId="2" fillId="40" borderId="10" xfId="47" applyFont="1" applyFill="1" applyBorder="1">
      <alignment/>
      <protection/>
    </xf>
    <xf numFmtId="0" fontId="2" fillId="40" borderId="11" xfId="47" applyFont="1" applyFill="1" applyBorder="1" applyAlignment="1">
      <alignment horizontal="center"/>
      <protection/>
    </xf>
    <xf numFmtId="0" fontId="2" fillId="40" borderId="11" xfId="47" applyFont="1" applyFill="1" applyBorder="1" applyAlignment="1">
      <alignment horizontal="center"/>
      <protection/>
    </xf>
    <xf numFmtId="0" fontId="2" fillId="40" borderId="22" xfId="47" applyFont="1" applyFill="1" applyBorder="1" applyAlignment="1">
      <alignment horizontal="center"/>
      <protection/>
    </xf>
    <xf numFmtId="0" fontId="2" fillId="40" borderId="12" xfId="47" applyFont="1" applyFill="1" applyBorder="1" applyAlignment="1">
      <alignment horizontal="center"/>
      <protection/>
    </xf>
    <xf numFmtId="0" fontId="2" fillId="40" borderId="12" xfId="47" applyFont="1" applyFill="1" applyBorder="1" applyAlignment="1">
      <alignment horizontal="center"/>
      <protection/>
    </xf>
    <xf numFmtId="0" fontId="2" fillId="40" borderId="12" xfId="47" applyFont="1" applyFill="1" applyBorder="1">
      <alignment/>
      <protection/>
    </xf>
    <xf numFmtId="0" fontId="2" fillId="41" borderId="28" xfId="47" applyFont="1" applyFill="1" applyBorder="1" applyAlignment="1">
      <alignment horizontal="left"/>
      <protection/>
    </xf>
    <xf numFmtId="0" fontId="2" fillId="41" borderId="28" xfId="47" applyFont="1" applyFill="1" applyBorder="1" applyAlignment="1">
      <alignment horizontal="center"/>
      <protection/>
    </xf>
    <xf numFmtId="0" fontId="2" fillId="41" borderId="29" xfId="47" applyFont="1" applyFill="1" applyBorder="1" applyAlignment="1">
      <alignment horizontal="center"/>
      <protection/>
    </xf>
    <xf numFmtId="43" fontId="10" fillId="41" borderId="20" xfId="36" applyFont="1" applyFill="1" applyBorder="1" applyAlignment="1">
      <alignment horizontal="center"/>
    </xf>
    <xf numFmtId="0" fontId="2" fillId="42" borderId="21" xfId="47" applyFont="1" applyFill="1" applyBorder="1">
      <alignment/>
      <protection/>
    </xf>
    <xf numFmtId="0" fontId="2" fillId="42" borderId="23" xfId="47" applyFont="1" applyFill="1" applyBorder="1">
      <alignment/>
      <protection/>
    </xf>
    <xf numFmtId="43" fontId="10" fillId="42" borderId="26" xfId="36" applyFont="1" applyFill="1" applyBorder="1" applyAlignment="1">
      <alignment/>
    </xf>
    <xf numFmtId="0" fontId="3" fillId="40" borderId="21" xfId="45" applyFont="1" applyFill="1" applyBorder="1">
      <alignment/>
      <protection/>
    </xf>
    <xf numFmtId="0" fontId="3" fillId="40" borderId="21" xfId="47" applyFont="1" applyFill="1" applyBorder="1" applyAlignment="1">
      <alignment horizontal="left"/>
      <protection/>
    </xf>
    <xf numFmtId="0" fontId="3" fillId="40" borderId="23" xfId="47" applyFont="1" applyFill="1" applyBorder="1" applyAlignment="1">
      <alignment horizontal="left"/>
      <protection/>
    </xf>
    <xf numFmtId="43" fontId="11" fillId="40" borderId="15" xfId="47" applyNumberFormat="1" applyFont="1" applyFill="1" applyBorder="1">
      <alignment/>
      <protection/>
    </xf>
    <xf numFmtId="43" fontId="11" fillId="40" borderId="15" xfId="36" applyFont="1" applyFill="1" applyBorder="1" applyAlignment="1">
      <alignment/>
    </xf>
    <xf numFmtId="43" fontId="11" fillId="40" borderId="26" xfId="47" applyNumberFormat="1" applyFont="1" applyFill="1" applyBorder="1">
      <alignment/>
      <protection/>
    </xf>
    <xf numFmtId="0" fontId="3" fillId="40" borderId="21" xfId="47" applyFont="1" applyFill="1" applyBorder="1">
      <alignment/>
      <protection/>
    </xf>
    <xf numFmtId="0" fontId="3" fillId="40" borderId="23" xfId="47" applyFont="1" applyFill="1" applyBorder="1">
      <alignment/>
      <protection/>
    </xf>
    <xf numFmtId="43" fontId="52" fillId="40" borderId="15" xfId="47" applyNumberFormat="1" applyFont="1" applyFill="1" applyBorder="1">
      <alignment/>
      <protection/>
    </xf>
    <xf numFmtId="0" fontId="3" fillId="40" borderId="23" xfId="45" applyFont="1" applyFill="1" applyBorder="1">
      <alignment/>
      <protection/>
    </xf>
    <xf numFmtId="0" fontId="2" fillId="40" borderId="21" xfId="47" applyFont="1" applyFill="1" applyBorder="1" applyAlignment="1">
      <alignment horizontal="left"/>
      <protection/>
    </xf>
    <xf numFmtId="0" fontId="2" fillId="40" borderId="21" xfId="45" applyFont="1" applyFill="1" applyBorder="1" applyAlignment="1">
      <alignment horizontal="center"/>
      <protection/>
    </xf>
    <xf numFmtId="43" fontId="11" fillId="40" borderId="26" xfId="36" applyFont="1" applyFill="1" applyBorder="1" applyAlignment="1">
      <alignment/>
    </xf>
    <xf numFmtId="0" fontId="3" fillId="40" borderId="21" xfId="45" applyFont="1" applyFill="1" applyBorder="1" applyAlignment="1">
      <alignment horizontal="center"/>
      <protection/>
    </xf>
    <xf numFmtId="43" fontId="11" fillId="40" borderId="15" xfId="36" applyFont="1" applyFill="1" applyBorder="1" applyAlignment="1">
      <alignment horizontal="center"/>
    </xf>
    <xf numFmtId="43" fontId="11" fillId="40" borderId="15" xfId="47" applyNumberFormat="1" applyFont="1" applyFill="1" applyBorder="1" applyAlignment="1">
      <alignment horizontal="center"/>
      <protection/>
    </xf>
    <xf numFmtId="0" fontId="2" fillId="40" borderId="21" xfId="47" applyFont="1" applyFill="1" applyBorder="1">
      <alignment/>
      <protection/>
    </xf>
    <xf numFmtId="0" fontId="3" fillId="40" borderId="21" xfId="47" applyFont="1" applyFill="1" applyBorder="1" applyAlignment="1">
      <alignment horizontal="center"/>
      <protection/>
    </xf>
    <xf numFmtId="0" fontId="3" fillId="40" borderId="15" xfId="45" applyFont="1" applyFill="1" applyBorder="1">
      <alignment/>
      <protection/>
    </xf>
    <xf numFmtId="0" fontId="3" fillId="40" borderId="0" xfId="45" applyFont="1" applyFill="1">
      <alignment/>
      <protection/>
    </xf>
    <xf numFmtId="43" fontId="52" fillId="40" borderId="26" xfId="47" applyNumberFormat="1" applyFont="1" applyFill="1" applyBorder="1">
      <alignment/>
      <protection/>
    </xf>
    <xf numFmtId="43" fontId="52" fillId="40" borderId="15" xfId="36" applyFont="1" applyFill="1" applyBorder="1" applyAlignment="1">
      <alignment/>
    </xf>
    <xf numFmtId="43" fontId="11" fillId="40" borderId="26" xfId="47" applyNumberFormat="1" applyFont="1" applyFill="1" applyBorder="1" applyAlignment="1">
      <alignment horizontal="center"/>
      <protection/>
    </xf>
    <xf numFmtId="43" fontId="10" fillId="42" borderId="26" xfId="36" applyNumberFormat="1" applyFont="1" applyFill="1" applyBorder="1" applyAlignment="1">
      <alignment/>
    </xf>
    <xf numFmtId="43" fontId="11" fillId="40" borderId="15" xfId="36" applyNumberFormat="1" applyFont="1" applyFill="1" applyBorder="1" applyAlignment="1">
      <alignment/>
    </xf>
    <xf numFmtId="43" fontId="11" fillId="40" borderId="15" xfId="47" applyNumberFormat="1" applyFont="1" applyFill="1" applyBorder="1">
      <alignment/>
      <protection/>
    </xf>
    <xf numFmtId="43" fontId="11" fillId="40" borderId="15" xfId="36" applyFont="1" applyFill="1" applyBorder="1" applyAlignment="1">
      <alignment/>
    </xf>
    <xf numFmtId="43" fontId="11" fillId="40" borderId="15" xfId="36" applyNumberFormat="1" applyFont="1" applyFill="1" applyBorder="1" applyAlignment="1">
      <alignment/>
    </xf>
    <xf numFmtId="43" fontId="11" fillId="40" borderId="26" xfId="47" applyNumberFormat="1" applyFont="1" applyFill="1" applyBorder="1">
      <alignment/>
      <protection/>
    </xf>
    <xf numFmtId="43" fontId="11" fillId="40" borderId="26" xfId="36" applyNumberFormat="1" applyFont="1" applyFill="1" applyBorder="1" applyAlignment="1">
      <alignment/>
    </xf>
    <xf numFmtId="43" fontId="3" fillId="40" borderId="15" xfId="36" applyNumberFormat="1" applyFont="1" applyFill="1" applyBorder="1" applyAlignment="1">
      <alignment/>
    </xf>
    <xf numFmtId="0" fontId="2" fillId="40" borderId="23" xfId="47" applyFont="1" applyFill="1" applyBorder="1">
      <alignment/>
      <protection/>
    </xf>
    <xf numFmtId="43" fontId="3" fillId="40" borderId="15" xfId="47" applyNumberFormat="1" applyFont="1" applyFill="1" applyBorder="1">
      <alignment/>
      <protection/>
    </xf>
    <xf numFmtId="43" fontId="10" fillId="42" borderId="26" xfId="47" applyNumberFormat="1" applyFont="1" applyFill="1" applyBorder="1">
      <alignment/>
      <protection/>
    </xf>
    <xf numFmtId="43" fontId="3" fillId="40" borderId="15" xfId="47" applyNumberFormat="1" applyFont="1" applyFill="1" applyBorder="1">
      <alignment/>
      <protection/>
    </xf>
    <xf numFmtId="43" fontId="10" fillId="40" borderId="26" xfId="47" applyNumberFormat="1" applyFont="1" applyFill="1" applyBorder="1">
      <alignment/>
      <protection/>
    </xf>
    <xf numFmtId="43" fontId="10" fillId="40" borderId="15" xfId="47" applyNumberFormat="1" applyFont="1" applyFill="1" applyBorder="1">
      <alignment/>
      <protection/>
    </xf>
    <xf numFmtId="0" fontId="3" fillId="40" borderId="24" xfId="45" applyFont="1" applyFill="1" applyBorder="1">
      <alignment/>
      <protection/>
    </xf>
    <xf numFmtId="0" fontId="2" fillId="40" borderId="24" xfId="47" applyFont="1" applyFill="1" applyBorder="1">
      <alignment/>
      <protection/>
    </xf>
    <xf numFmtId="0" fontId="3" fillId="40" borderId="24" xfId="47" applyFont="1" applyFill="1" applyBorder="1">
      <alignment/>
      <protection/>
    </xf>
    <xf numFmtId="0" fontId="3" fillId="40" borderId="25" xfId="47" applyFont="1" applyFill="1" applyBorder="1">
      <alignment/>
      <protection/>
    </xf>
    <xf numFmtId="43" fontId="3" fillId="40" borderId="17" xfId="47" applyNumberFormat="1" applyFont="1" applyFill="1" applyBorder="1">
      <alignment/>
      <protection/>
    </xf>
    <xf numFmtId="43" fontId="11" fillId="40" borderId="17" xfId="47" applyNumberFormat="1" applyFont="1" applyFill="1" applyBorder="1">
      <alignment/>
      <protection/>
    </xf>
    <xf numFmtId="43" fontId="11" fillId="40" borderId="17" xfId="36" applyFont="1" applyFill="1" applyBorder="1" applyAlignment="1">
      <alignment/>
    </xf>
    <xf numFmtId="43" fontId="10" fillId="40" borderId="17" xfId="47" applyNumberFormat="1" applyFont="1" applyFill="1" applyBorder="1">
      <alignment/>
      <protection/>
    </xf>
    <xf numFmtId="0" fontId="3" fillId="40" borderId="0" xfId="47" applyFont="1" applyFill="1" applyBorder="1">
      <alignment/>
      <protection/>
    </xf>
    <xf numFmtId="43" fontId="3" fillId="40" borderId="0" xfId="47" applyNumberFormat="1" applyFont="1" applyFill="1" applyBorder="1">
      <alignment/>
      <protection/>
    </xf>
    <xf numFmtId="43" fontId="3" fillId="40" borderId="0" xfId="36" applyFont="1" applyFill="1" applyBorder="1" applyAlignment="1">
      <alignment/>
    </xf>
    <xf numFmtId="0" fontId="4" fillId="40" borderId="0" xfId="47" applyFont="1" applyFill="1">
      <alignment/>
      <protection/>
    </xf>
    <xf numFmtId="0" fontId="3" fillId="40" borderId="0" xfId="47" applyFont="1" applyFill="1">
      <alignment/>
      <protection/>
    </xf>
    <xf numFmtId="0" fontId="3" fillId="40" borderId="0" xfId="47" applyFont="1" applyFill="1">
      <alignment/>
      <protection/>
    </xf>
    <xf numFmtId="0" fontId="0" fillId="40" borderId="0" xfId="45" applyFill="1">
      <alignment/>
      <protection/>
    </xf>
    <xf numFmtId="0" fontId="2" fillId="12" borderId="28" xfId="47" applyFont="1" applyFill="1" applyBorder="1" applyAlignment="1">
      <alignment horizontal="left"/>
      <protection/>
    </xf>
    <xf numFmtId="0" fontId="2" fillId="12" borderId="28" xfId="47" applyFont="1" applyFill="1" applyBorder="1" applyAlignment="1">
      <alignment horizontal="center"/>
      <protection/>
    </xf>
    <xf numFmtId="0" fontId="2" fillId="12" borderId="29" xfId="47" applyFont="1" applyFill="1" applyBorder="1" applyAlignment="1">
      <alignment horizontal="center"/>
      <protection/>
    </xf>
    <xf numFmtId="43" fontId="10" fillId="12" borderId="20" xfId="36" applyFont="1" applyFill="1" applyBorder="1" applyAlignment="1">
      <alignment horizontal="center"/>
    </xf>
    <xf numFmtId="0" fontId="2" fillId="37" borderId="20" xfId="47" applyFont="1" applyFill="1" applyBorder="1" applyAlignment="1">
      <alignment horizontal="center"/>
      <protection/>
    </xf>
    <xf numFmtId="0" fontId="2" fillId="37" borderId="27" xfId="47" applyFont="1" applyFill="1" applyBorder="1" applyAlignment="1">
      <alignment horizontal="center"/>
      <protection/>
    </xf>
    <xf numFmtId="0" fontId="2" fillId="37" borderId="27" xfId="47" applyFont="1" applyFill="1" applyBorder="1" applyAlignment="1">
      <alignment horizontal="center"/>
      <protection/>
    </xf>
    <xf numFmtId="0" fontId="2" fillId="37" borderId="27" xfId="47" applyFont="1" applyFill="1" applyBorder="1">
      <alignment/>
      <protection/>
    </xf>
    <xf numFmtId="0" fontId="2" fillId="37" borderId="13" xfId="47" applyFont="1" applyFill="1" applyBorder="1" applyAlignment="1">
      <alignment horizontal="center"/>
      <protection/>
    </xf>
    <xf numFmtId="0" fontId="53" fillId="40" borderId="0" xfId="0" applyFont="1" applyFill="1" applyAlignment="1">
      <alignment/>
    </xf>
    <xf numFmtId="0" fontId="3" fillId="40" borderId="0" xfId="0" applyFont="1" applyFill="1" applyAlignment="1">
      <alignment/>
    </xf>
    <xf numFmtId="0" fontId="2" fillId="40" borderId="20" xfId="47" applyFont="1" applyFill="1" applyBorder="1" applyAlignment="1">
      <alignment horizontal="center"/>
      <protection/>
    </xf>
    <xf numFmtId="0" fontId="0" fillId="0" borderId="30" xfId="0" applyBorder="1" applyAlignment="1">
      <alignment horizontal="center" vertical="center"/>
    </xf>
    <xf numFmtId="0" fontId="3" fillId="37" borderId="28" xfId="0" applyFont="1" applyFill="1" applyBorder="1" applyAlignment="1">
      <alignment/>
    </xf>
    <xf numFmtId="0" fontId="2" fillId="37" borderId="28" xfId="0" applyFont="1" applyFill="1" applyBorder="1" applyAlignment="1">
      <alignment horizontal="center"/>
    </xf>
    <xf numFmtId="0" fontId="3" fillId="37" borderId="28" xfId="47" applyFont="1" applyFill="1" applyBorder="1" applyAlignment="1">
      <alignment horizontal="left"/>
      <protection/>
    </xf>
    <xf numFmtId="0" fontId="3" fillId="37" borderId="31" xfId="0" applyFont="1" applyFill="1" applyBorder="1" applyAlignment="1">
      <alignment/>
    </xf>
    <xf numFmtId="43" fontId="11" fillId="37" borderId="32" xfId="47" applyNumberFormat="1" applyFont="1" applyFill="1" applyBorder="1">
      <alignment/>
      <protection/>
    </xf>
    <xf numFmtId="0" fontId="3" fillId="37" borderId="24" xfId="0" applyFont="1" applyFill="1" applyBorder="1" applyAlignment="1">
      <alignment horizontal="center"/>
    </xf>
    <xf numFmtId="0" fontId="3" fillId="37" borderId="24" xfId="47" applyFont="1" applyFill="1" applyBorder="1" applyAlignment="1">
      <alignment horizontal="left"/>
      <protection/>
    </xf>
    <xf numFmtId="43" fontId="11" fillId="37" borderId="33" xfId="47" applyNumberFormat="1" applyFont="1" applyFill="1" applyBorder="1">
      <alignment/>
      <protection/>
    </xf>
    <xf numFmtId="43" fontId="11" fillId="37" borderId="33" xfId="36" applyFont="1" applyFill="1" applyBorder="1" applyAlignment="1">
      <alignment/>
    </xf>
    <xf numFmtId="43" fontId="11" fillId="37" borderId="33" xfId="36" applyFont="1" applyFill="1" applyBorder="1" applyAlignment="1">
      <alignment horizontal="center"/>
    </xf>
    <xf numFmtId="0" fontId="3" fillId="37" borderId="28" xfId="47" applyFont="1" applyFill="1" applyBorder="1">
      <alignment/>
      <protection/>
    </xf>
    <xf numFmtId="0" fontId="3" fillId="37" borderId="28" xfId="47" applyFont="1" applyFill="1" applyBorder="1" applyAlignment="1">
      <alignment horizontal="center"/>
      <protection/>
    </xf>
    <xf numFmtId="43" fontId="11" fillId="37" borderId="16" xfId="47" applyNumberFormat="1" applyFont="1" applyFill="1" applyBorder="1">
      <alignment/>
      <protection/>
    </xf>
    <xf numFmtId="43" fontId="11" fillId="37" borderId="16" xfId="36" applyFont="1" applyFill="1" applyBorder="1" applyAlignment="1">
      <alignment/>
    </xf>
    <xf numFmtId="43" fontId="11" fillId="37" borderId="16" xfId="36" applyFont="1" applyFill="1" applyBorder="1" applyAlignment="1">
      <alignment horizontal="center"/>
    </xf>
    <xf numFmtId="0" fontId="3" fillId="37" borderId="24" xfId="47" applyFont="1" applyFill="1" applyBorder="1" applyAlignment="1">
      <alignment horizontal="center"/>
      <protection/>
    </xf>
    <xf numFmtId="0" fontId="3" fillId="37" borderId="25" xfId="0" applyFont="1" applyFill="1" applyBorder="1" applyAlignment="1">
      <alignment/>
    </xf>
    <xf numFmtId="43" fontId="11" fillId="37" borderId="17" xfId="36" applyFont="1" applyFill="1" applyBorder="1" applyAlignment="1">
      <alignment horizontal="center"/>
    </xf>
    <xf numFmtId="0" fontId="2" fillId="37" borderId="28" xfId="47" applyFont="1" applyFill="1" applyBorder="1" applyAlignment="1">
      <alignment horizontal="left"/>
      <protection/>
    </xf>
    <xf numFmtId="0" fontId="2" fillId="37" borderId="31" xfId="47" applyFont="1" applyFill="1" applyBorder="1">
      <alignment/>
      <protection/>
    </xf>
    <xf numFmtId="43" fontId="11" fillId="37" borderId="17" xfId="36" applyNumberFormat="1" applyFont="1" applyFill="1" applyBorder="1" applyAlignment="1">
      <alignment/>
    </xf>
    <xf numFmtId="0" fontId="3" fillId="35" borderId="34" xfId="0" applyFont="1" applyFill="1" applyBorder="1" applyAlignment="1">
      <alignment/>
    </xf>
    <xf numFmtId="0" fontId="3" fillId="35" borderId="34" xfId="47" applyFont="1" applyFill="1" applyBorder="1">
      <alignment/>
      <protection/>
    </xf>
    <xf numFmtId="0" fontId="3" fillId="35" borderId="35" xfId="47" applyFont="1" applyFill="1" applyBorder="1">
      <alignment/>
      <protection/>
    </xf>
    <xf numFmtId="43" fontId="11" fillId="35" borderId="36" xfId="47" applyNumberFormat="1" applyFont="1" applyFill="1" applyBorder="1">
      <alignment/>
      <protection/>
    </xf>
    <xf numFmtId="43" fontId="11" fillId="35" borderId="18" xfId="47" applyNumberFormat="1" applyFont="1" applyFill="1" applyBorder="1">
      <alignment/>
      <protection/>
    </xf>
    <xf numFmtId="43" fontId="11" fillId="35" borderId="18" xfId="36" applyFont="1" applyFill="1" applyBorder="1" applyAlignment="1">
      <alignment/>
    </xf>
    <xf numFmtId="0" fontId="2" fillId="38" borderId="28" xfId="47" applyFont="1" applyFill="1" applyBorder="1">
      <alignment/>
      <protection/>
    </xf>
    <xf numFmtId="0" fontId="2" fillId="38" borderId="31" xfId="47" applyFont="1" applyFill="1" applyBorder="1">
      <alignment/>
      <protection/>
    </xf>
    <xf numFmtId="43" fontId="10" fillId="38" borderId="32" xfId="36" applyFont="1" applyFill="1" applyBorder="1" applyAlignment="1">
      <alignment/>
    </xf>
    <xf numFmtId="0" fontId="3" fillId="40" borderId="19" xfId="0" applyFont="1" applyFill="1" applyBorder="1" applyAlignment="1">
      <alignment/>
    </xf>
    <xf numFmtId="0" fontId="3" fillId="40" borderId="19" xfId="47" applyFont="1" applyFill="1" applyBorder="1">
      <alignment/>
      <protection/>
    </xf>
    <xf numFmtId="43" fontId="11" fillId="40" borderId="19" xfId="47" applyNumberFormat="1" applyFont="1" applyFill="1" applyBorder="1">
      <alignment/>
      <protection/>
    </xf>
    <xf numFmtId="43" fontId="11" fillId="40" borderId="19" xfId="36" applyFont="1" applyFill="1" applyBorder="1" applyAlignment="1">
      <alignment/>
    </xf>
    <xf numFmtId="0" fontId="3" fillId="40" borderId="0" xfId="0" applyFont="1" applyFill="1" applyBorder="1" applyAlignment="1">
      <alignment/>
    </xf>
    <xf numFmtId="43" fontId="11" fillId="40" borderId="0" xfId="47" applyNumberFormat="1" applyFont="1" applyFill="1" applyBorder="1">
      <alignment/>
      <protection/>
    </xf>
    <xf numFmtId="43" fontId="11" fillId="40" borderId="0" xfId="36" applyFont="1" applyFill="1" applyBorder="1" applyAlignment="1">
      <alignment/>
    </xf>
    <xf numFmtId="0" fontId="0" fillId="37" borderId="0" xfId="0" applyFont="1" applyFill="1" applyAlignment="1">
      <alignment horizontal="left"/>
    </xf>
    <xf numFmtId="43" fontId="3" fillId="37" borderId="0" xfId="36" applyFont="1" applyFill="1" applyAlignment="1">
      <alignment/>
    </xf>
    <xf numFmtId="194" fontId="3" fillId="37" borderId="0" xfId="45" applyNumberFormat="1" applyFont="1" applyFill="1">
      <alignment/>
      <protection/>
    </xf>
    <xf numFmtId="0" fontId="53" fillId="37" borderId="0" xfId="45" applyFont="1" applyFill="1">
      <alignment/>
      <protection/>
    </xf>
    <xf numFmtId="43" fontId="52" fillId="37" borderId="15" xfId="36" applyFont="1" applyFill="1" applyBorder="1" applyAlignment="1">
      <alignment/>
    </xf>
    <xf numFmtId="43" fontId="11" fillId="12" borderId="15" xfId="47" applyNumberFormat="1" applyFont="1" applyFill="1" applyBorder="1">
      <alignment/>
      <protection/>
    </xf>
    <xf numFmtId="43" fontId="11" fillId="12" borderId="15" xfId="36" applyFont="1" applyFill="1" applyBorder="1" applyAlignment="1">
      <alignment/>
    </xf>
    <xf numFmtId="43" fontId="11" fillId="12" borderId="15" xfId="36" applyFont="1" applyFill="1" applyBorder="1" applyAlignment="1">
      <alignment horizontal="center"/>
    </xf>
    <xf numFmtId="0" fontId="3" fillId="12" borderId="15" xfId="45" applyFont="1" applyFill="1" applyBorder="1">
      <alignment/>
      <protection/>
    </xf>
    <xf numFmtId="43" fontId="11" fillId="13" borderId="15" xfId="36" applyNumberFormat="1" applyFont="1" applyFill="1" applyBorder="1" applyAlignment="1">
      <alignment/>
    </xf>
    <xf numFmtId="0" fontId="4" fillId="37" borderId="0" xfId="47" applyFont="1" applyFill="1">
      <alignment/>
      <protection/>
    </xf>
    <xf numFmtId="0" fontId="0" fillId="37" borderId="0" xfId="45" applyFont="1" applyFill="1" applyAlignment="1">
      <alignment horizontal="left"/>
      <protection/>
    </xf>
    <xf numFmtId="0" fontId="0" fillId="37" borderId="0" xfId="45" applyFont="1" applyFill="1">
      <alignment/>
      <protection/>
    </xf>
    <xf numFmtId="0" fontId="2" fillId="40" borderId="15" xfId="47" applyFont="1" applyFill="1" applyBorder="1" applyAlignment="1">
      <alignment horizontal="center"/>
      <protection/>
    </xf>
    <xf numFmtId="0" fontId="2" fillId="37" borderId="15" xfId="47" applyFont="1" applyFill="1" applyBorder="1" applyAlignment="1">
      <alignment horizontal="center"/>
      <protection/>
    </xf>
    <xf numFmtId="43" fontId="10" fillId="12" borderId="15" xfId="36" applyFont="1" applyFill="1" applyBorder="1" applyAlignment="1">
      <alignment horizontal="center"/>
    </xf>
    <xf numFmtId="43" fontId="10" fillId="42" borderId="15" xfId="36" applyFont="1" applyFill="1" applyBorder="1" applyAlignment="1">
      <alignment horizontal="center"/>
    </xf>
    <xf numFmtId="43" fontId="10" fillId="40" borderId="15" xfId="36" applyFont="1" applyFill="1" applyBorder="1" applyAlignment="1">
      <alignment horizontal="center"/>
    </xf>
    <xf numFmtId="43" fontId="10" fillId="39" borderId="15" xfId="36" applyFont="1" applyFill="1" applyBorder="1" applyAlignment="1">
      <alignment horizontal="center"/>
    </xf>
    <xf numFmtId="43" fontId="10" fillId="38" borderId="15" xfId="36" applyNumberFormat="1" applyFont="1" applyFill="1" applyBorder="1" applyAlignment="1">
      <alignment/>
    </xf>
    <xf numFmtId="43" fontId="11" fillId="13" borderId="15" xfId="47" applyNumberFormat="1" applyFont="1" applyFill="1" applyBorder="1">
      <alignment/>
      <protection/>
    </xf>
    <xf numFmtId="43" fontId="10" fillId="38" borderId="15" xfId="47" applyNumberFormat="1" applyFont="1" applyFill="1" applyBorder="1">
      <alignment/>
      <protection/>
    </xf>
    <xf numFmtId="43" fontId="10" fillId="38" borderId="15" xfId="36" applyFont="1" applyFill="1" applyBorder="1" applyAlignment="1">
      <alignment/>
    </xf>
    <xf numFmtId="194" fontId="0" fillId="40" borderId="0" xfId="45" applyNumberFormat="1" applyFont="1" applyFill="1">
      <alignment/>
      <protection/>
    </xf>
    <xf numFmtId="0" fontId="2" fillId="12" borderId="15" xfId="47" applyFont="1" applyFill="1" applyBorder="1" applyAlignment="1">
      <alignment horizontal="left"/>
      <protection/>
    </xf>
    <xf numFmtId="0" fontId="2" fillId="12" borderId="15" xfId="47" applyFont="1" applyFill="1" applyBorder="1" applyAlignment="1">
      <alignment horizontal="center"/>
      <protection/>
    </xf>
    <xf numFmtId="0" fontId="2" fillId="38" borderId="15" xfId="47" applyFont="1" applyFill="1" applyBorder="1">
      <alignment/>
      <protection/>
    </xf>
    <xf numFmtId="0" fontId="3" fillId="37" borderId="15" xfId="47" applyFont="1" applyFill="1" applyBorder="1" applyAlignment="1">
      <alignment horizontal="left"/>
      <protection/>
    </xf>
    <xf numFmtId="0" fontId="3" fillId="37" borderId="15" xfId="47" applyFont="1" applyFill="1" applyBorder="1">
      <alignment/>
      <protection/>
    </xf>
    <xf numFmtId="0" fontId="3" fillId="35" borderId="15" xfId="45" applyFont="1" applyFill="1" applyBorder="1">
      <alignment/>
      <protection/>
    </xf>
    <xf numFmtId="43" fontId="11" fillId="10" borderId="15" xfId="47" applyNumberFormat="1" applyFont="1" applyFill="1" applyBorder="1">
      <alignment/>
      <protection/>
    </xf>
    <xf numFmtId="0" fontId="2" fillId="37" borderId="15" xfId="47" applyFont="1" applyFill="1" applyBorder="1" applyAlignment="1">
      <alignment horizontal="left"/>
      <protection/>
    </xf>
    <xf numFmtId="0" fontId="2" fillId="12" borderId="15" xfId="45" applyFont="1" applyFill="1" applyBorder="1" applyAlignment="1">
      <alignment horizontal="center"/>
      <protection/>
    </xf>
    <xf numFmtId="0" fontId="3" fillId="40" borderId="15" xfId="45" applyFont="1" applyFill="1" applyBorder="1" applyAlignment="1">
      <alignment horizontal="center"/>
      <protection/>
    </xf>
    <xf numFmtId="0" fontId="3" fillId="39" borderId="15" xfId="45" applyFont="1" applyFill="1" applyBorder="1">
      <alignment/>
      <protection/>
    </xf>
    <xf numFmtId="0" fontId="3" fillId="39" borderId="15" xfId="45" applyFont="1" applyFill="1" applyBorder="1" applyAlignment="1">
      <alignment horizontal="center"/>
      <protection/>
    </xf>
    <xf numFmtId="0" fontId="3" fillId="39" borderId="15" xfId="47" applyFont="1" applyFill="1" applyBorder="1">
      <alignment/>
      <protection/>
    </xf>
    <xf numFmtId="0" fontId="3" fillId="35" borderId="15" xfId="45" applyFont="1" applyFill="1" applyBorder="1" applyAlignment="1">
      <alignment horizontal="center"/>
      <protection/>
    </xf>
    <xf numFmtId="0" fontId="3" fillId="39" borderId="15" xfId="47" applyFont="1" applyFill="1" applyBorder="1" applyAlignment="1">
      <alignment horizontal="left"/>
      <protection/>
    </xf>
    <xf numFmtId="0" fontId="3" fillId="35" borderId="15" xfId="47" applyFont="1" applyFill="1" applyBorder="1" applyAlignment="1">
      <alignment horizontal="left"/>
      <protection/>
    </xf>
    <xf numFmtId="0" fontId="3" fillId="12" borderId="15" xfId="47" applyFont="1" applyFill="1" applyBorder="1">
      <alignment/>
      <protection/>
    </xf>
    <xf numFmtId="0" fontId="3" fillId="12" borderId="15" xfId="47" applyFont="1" applyFill="1" applyBorder="1" applyAlignment="1">
      <alignment horizontal="center"/>
      <protection/>
    </xf>
    <xf numFmtId="0" fontId="2" fillId="12" borderId="15" xfId="47" applyFont="1" applyFill="1" applyBorder="1">
      <alignment/>
      <protection/>
    </xf>
    <xf numFmtId="0" fontId="3" fillId="37" borderId="15" xfId="47" applyFont="1" applyFill="1" applyBorder="1" applyAlignment="1">
      <alignment horizontal="center"/>
      <protection/>
    </xf>
    <xf numFmtId="0" fontId="3" fillId="39" borderId="15" xfId="47" applyFont="1" applyFill="1" applyBorder="1" applyAlignment="1">
      <alignment horizontal="center"/>
      <protection/>
    </xf>
    <xf numFmtId="0" fontId="3" fillId="35" borderId="15" xfId="47" applyFont="1" applyFill="1" applyBorder="1" applyAlignment="1">
      <alignment horizontal="center"/>
      <protection/>
    </xf>
    <xf numFmtId="0" fontId="3" fillId="40" borderId="15" xfId="47" applyFont="1" applyFill="1" applyBorder="1">
      <alignment/>
      <protection/>
    </xf>
    <xf numFmtId="0" fontId="2" fillId="40" borderId="15" xfId="47" applyFont="1" applyFill="1" applyBorder="1">
      <alignment/>
      <protection/>
    </xf>
    <xf numFmtId="0" fontId="3" fillId="40" borderId="15" xfId="47" applyFont="1" applyFill="1" applyBorder="1" applyAlignment="1">
      <alignment horizontal="center"/>
      <protection/>
    </xf>
    <xf numFmtId="0" fontId="3" fillId="13" borderId="15" xfId="45" applyFont="1" applyFill="1" applyBorder="1">
      <alignment/>
      <protection/>
    </xf>
    <xf numFmtId="0" fontId="2" fillId="13" borderId="15" xfId="47" applyFont="1" applyFill="1" applyBorder="1">
      <alignment/>
      <protection/>
    </xf>
    <xf numFmtId="0" fontId="3" fillId="13" borderId="15" xfId="47" applyFont="1" applyFill="1" applyBorder="1">
      <alignment/>
      <protection/>
    </xf>
    <xf numFmtId="43" fontId="52" fillId="13" borderId="15" xfId="47" applyNumberFormat="1" applyFont="1" applyFill="1" applyBorder="1">
      <alignment/>
      <protection/>
    </xf>
    <xf numFmtId="0" fontId="2" fillId="13" borderId="15" xfId="47" applyFont="1" applyFill="1" applyBorder="1" applyAlignment="1">
      <alignment horizontal="left"/>
      <protection/>
    </xf>
    <xf numFmtId="0" fontId="2" fillId="37" borderId="17" xfId="47" applyFont="1" applyFill="1" applyBorder="1">
      <alignment/>
      <protection/>
    </xf>
    <xf numFmtId="0" fontId="3" fillId="37" borderId="17" xfId="47" applyFont="1" applyFill="1" applyBorder="1">
      <alignment/>
      <protection/>
    </xf>
    <xf numFmtId="0" fontId="2" fillId="37" borderId="13" xfId="47" applyFont="1" applyFill="1" applyBorder="1" applyAlignment="1">
      <alignment horizontal="center"/>
      <protection/>
    </xf>
    <xf numFmtId="0" fontId="2" fillId="38" borderId="16" xfId="47" applyFont="1" applyFill="1" applyBorder="1">
      <alignment/>
      <protection/>
    </xf>
    <xf numFmtId="43" fontId="10" fillId="38" borderId="16" xfId="36" applyFont="1" applyFill="1" applyBorder="1" applyAlignment="1">
      <alignment/>
    </xf>
    <xf numFmtId="43" fontId="10" fillId="42" borderId="16" xfId="36" applyFont="1" applyFill="1" applyBorder="1" applyAlignment="1">
      <alignment horizontal="center"/>
    </xf>
    <xf numFmtId="0" fontId="2" fillId="12" borderId="13" xfId="47" applyFont="1" applyFill="1" applyBorder="1" applyAlignment="1">
      <alignment horizontal="left"/>
      <protection/>
    </xf>
    <xf numFmtId="0" fontId="2" fillId="12" borderId="13" xfId="47" applyFont="1" applyFill="1" applyBorder="1" applyAlignment="1">
      <alignment horizontal="center"/>
      <protection/>
    </xf>
    <xf numFmtId="43" fontId="10" fillId="12" borderId="13" xfId="36" applyFont="1" applyFill="1" applyBorder="1" applyAlignment="1">
      <alignment horizontal="center"/>
    </xf>
    <xf numFmtId="192" fontId="10" fillId="12" borderId="13" xfId="36" applyNumberFormat="1" applyFont="1" applyFill="1" applyBorder="1" applyAlignment="1">
      <alignment horizontal="center"/>
    </xf>
    <xf numFmtId="0" fontId="2" fillId="37" borderId="14" xfId="47" applyFont="1" applyFill="1" applyBorder="1" applyAlignment="1">
      <alignment horizontal="center"/>
      <protection/>
    </xf>
    <xf numFmtId="0" fontId="2" fillId="37" borderId="14" xfId="47" applyFont="1" applyFill="1" applyBorder="1">
      <alignment/>
      <protection/>
    </xf>
    <xf numFmtId="0" fontId="18" fillId="37" borderId="0" xfId="47" applyFont="1" applyFill="1">
      <alignment/>
      <protection/>
    </xf>
    <xf numFmtId="0" fontId="0" fillId="37" borderId="0" xfId="47" applyFont="1" applyFill="1">
      <alignment/>
      <protection/>
    </xf>
    <xf numFmtId="0" fontId="0" fillId="37" borderId="0" xfId="45" applyFont="1" applyFill="1" applyAlignment="1">
      <alignment horizontal="left"/>
      <protection/>
    </xf>
    <xf numFmtId="0" fontId="0" fillId="40" borderId="0" xfId="45" applyFont="1" applyFill="1">
      <alignment/>
      <protection/>
    </xf>
    <xf numFmtId="0" fontId="2" fillId="40" borderId="37" xfId="47" applyFont="1" applyFill="1" applyBorder="1" applyAlignment="1">
      <alignment horizontal="center"/>
      <protection/>
    </xf>
    <xf numFmtId="0" fontId="2" fillId="40" borderId="30" xfId="47" applyFont="1" applyFill="1" applyBorder="1" applyAlignment="1">
      <alignment horizontal="center" vertical="center"/>
      <protection/>
    </xf>
    <xf numFmtId="0" fontId="0" fillId="0" borderId="19" xfId="45" applyBorder="1" applyAlignment="1">
      <alignment horizontal="center" vertical="center"/>
      <protection/>
    </xf>
    <xf numFmtId="0" fontId="0" fillId="0" borderId="20" xfId="45" applyBorder="1" applyAlignment="1">
      <alignment horizontal="center" vertical="center"/>
      <protection/>
    </xf>
    <xf numFmtId="0" fontId="0" fillId="0" borderId="38" xfId="45" applyBorder="1" applyAlignment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0" fontId="0" fillId="0" borderId="27" xfId="45" applyBorder="1" applyAlignment="1">
      <alignment horizontal="center" vertical="center"/>
      <protection/>
    </xf>
    <xf numFmtId="0" fontId="0" fillId="0" borderId="39" xfId="45" applyBorder="1" applyAlignment="1">
      <alignment horizontal="center" vertical="center"/>
      <protection/>
    </xf>
    <xf numFmtId="0" fontId="0" fillId="0" borderId="37" xfId="45" applyBorder="1" applyAlignment="1">
      <alignment horizontal="center" vertical="center"/>
      <protection/>
    </xf>
    <xf numFmtId="0" fontId="0" fillId="0" borderId="22" xfId="45" applyBorder="1" applyAlignment="1">
      <alignment horizontal="center" vertical="center"/>
      <protection/>
    </xf>
    <xf numFmtId="0" fontId="2" fillId="40" borderId="40" xfId="47" applyFont="1" applyFill="1" applyBorder="1" applyAlignment="1">
      <alignment horizontal="center"/>
      <protection/>
    </xf>
    <xf numFmtId="0" fontId="2" fillId="40" borderId="41" xfId="47" applyFont="1" applyFill="1" applyBorder="1" applyAlignment="1">
      <alignment horizontal="center"/>
      <protection/>
    </xf>
    <xf numFmtId="0" fontId="2" fillId="40" borderId="42" xfId="47" applyFont="1" applyFill="1" applyBorder="1" applyAlignment="1">
      <alignment horizont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9" borderId="13" xfId="47" applyFont="1" applyFill="1" applyBorder="1" applyAlignment="1">
      <alignment horizontal="center"/>
      <protection/>
    </xf>
    <xf numFmtId="0" fontId="2" fillId="40" borderId="13" xfId="47" applyFont="1" applyFill="1" applyBorder="1" applyAlignment="1">
      <alignment horizontal="center"/>
      <protection/>
    </xf>
    <xf numFmtId="0" fontId="17" fillId="40" borderId="37" xfId="47" applyFont="1" applyFill="1" applyBorder="1" applyAlignment="1">
      <alignment horizontal="center"/>
      <protection/>
    </xf>
    <xf numFmtId="0" fontId="2" fillId="40" borderId="14" xfId="47" applyFont="1" applyFill="1" applyBorder="1" applyAlignment="1">
      <alignment horizontal="center" vertical="center"/>
      <protection/>
    </xf>
    <xf numFmtId="0" fontId="0" fillId="0" borderId="14" xfId="45" applyBorder="1" applyAlignment="1">
      <alignment horizontal="center" vertical="center"/>
      <protection/>
    </xf>
    <xf numFmtId="0" fontId="0" fillId="0" borderId="15" xfId="45" applyBorder="1" applyAlignment="1">
      <alignment horizontal="center" vertical="center"/>
      <protection/>
    </xf>
    <xf numFmtId="0" fontId="0" fillId="0" borderId="18" xfId="45" applyBorder="1" applyAlignment="1">
      <alignment horizontal="center" vertical="center"/>
      <protection/>
    </xf>
    <xf numFmtId="0" fontId="2" fillId="42" borderId="13" xfId="47" applyFont="1" applyFill="1" applyBorder="1" applyAlignment="1">
      <alignment horizontal="center"/>
      <protection/>
    </xf>
    <xf numFmtId="0" fontId="2" fillId="43" borderId="13" xfId="47" applyFont="1" applyFill="1" applyBorder="1" applyAlignment="1">
      <alignment horizontal="center"/>
      <protection/>
    </xf>
    <xf numFmtId="0" fontId="2" fillId="42" borderId="14" xfId="47" applyFont="1" applyFill="1" applyBorder="1" applyAlignment="1">
      <alignment horizontal="center"/>
      <protection/>
    </xf>
    <xf numFmtId="0" fontId="2" fillId="43" borderId="14" xfId="47" applyFont="1" applyFill="1" applyBorder="1" applyAlignment="1">
      <alignment horizontal="center"/>
      <protection/>
    </xf>
    <xf numFmtId="0" fontId="2" fillId="40" borderId="15" xfId="47" applyFont="1" applyFill="1" applyBorder="1" applyAlignment="1">
      <alignment horizontal="center"/>
      <protection/>
    </xf>
    <xf numFmtId="0" fontId="8" fillId="0" borderId="37" xfId="47" applyFont="1" applyBorder="1" applyAlignment="1">
      <alignment horizontal="center"/>
      <protection/>
    </xf>
    <xf numFmtId="0" fontId="7" fillId="0" borderId="40" xfId="47" applyFont="1" applyBorder="1" applyAlignment="1">
      <alignment horizontal="center"/>
      <protection/>
    </xf>
    <xf numFmtId="0" fontId="7" fillId="0" borderId="41" xfId="47" applyFont="1" applyBorder="1" applyAlignment="1">
      <alignment horizontal="center"/>
      <protection/>
    </xf>
    <xf numFmtId="0" fontId="2" fillId="0" borderId="37" xfId="47" applyFont="1" applyBorder="1" applyAlignment="1">
      <alignment horizontal="center"/>
      <protection/>
    </xf>
    <xf numFmtId="0" fontId="2" fillId="0" borderId="40" xfId="47" applyFont="1" applyBorder="1" applyAlignment="1">
      <alignment horizontal="center"/>
      <protection/>
    </xf>
    <xf numFmtId="0" fontId="2" fillId="0" borderId="41" xfId="47" applyFont="1" applyBorder="1" applyAlignment="1">
      <alignment horizontal="center"/>
      <protection/>
    </xf>
    <xf numFmtId="0" fontId="2" fillId="0" borderId="42" xfId="47" applyFont="1" applyBorder="1" applyAlignment="1">
      <alignment horizontal="center"/>
      <protection/>
    </xf>
    <xf numFmtId="0" fontId="2" fillId="0" borderId="3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50"/>
  <sheetViews>
    <sheetView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2" sqref="M22"/>
    </sheetView>
  </sheetViews>
  <sheetFormatPr defaultColWidth="9.140625" defaultRowHeight="21.75"/>
  <cols>
    <col min="1" max="1" width="1.8515625" style="339" customWidth="1"/>
    <col min="2" max="3" width="2.28125" style="339" customWidth="1"/>
    <col min="4" max="4" width="35.00390625" style="339" customWidth="1"/>
    <col min="5" max="5" width="9.7109375" style="339" bestFit="1" customWidth="1"/>
    <col min="6" max="9" width="7.8515625" style="339" customWidth="1"/>
    <col min="10" max="10" width="9.7109375" style="339" bestFit="1" customWidth="1"/>
    <col min="11" max="16" width="7.8515625" style="339" customWidth="1"/>
    <col min="17" max="17" width="9.7109375" style="339" bestFit="1" customWidth="1"/>
    <col min="18" max="18" width="9.28125" style="339" bestFit="1" customWidth="1"/>
    <col min="19" max="16384" width="9.140625" style="339" customWidth="1"/>
  </cols>
  <sheetData>
    <row r="1" spans="1:18" ht="21.75" customHeight="1">
      <c r="A1" s="527" t="s">
        <v>261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</row>
    <row r="2" spans="1:18" ht="18.75">
      <c r="A2" s="528" t="s">
        <v>4</v>
      </c>
      <c r="B2" s="529"/>
      <c r="C2" s="529"/>
      <c r="D2" s="530"/>
      <c r="E2" s="537" t="s">
        <v>2</v>
      </c>
      <c r="F2" s="537"/>
      <c r="G2" s="537"/>
      <c r="H2" s="537"/>
      <c r="I2" s="537"/>
      <c r="J2" s="538"/>
      <c r="K2" s="537" t="s">
        <v>115</v>
      </c>
      <c r="L2" s="537"/>
      <c r="M2" s="537"/>
      <c r="N2" s="537"/>
      <c r="O2" s="537"/>
      <c r="P2" s="538"/>
      <c r="Q2" s="340" t="s">
        <v>3</v>
      </c>
      <c r="R2" s="341"/>
    </row>
    <row r="3" spans="1:18" ht="18.75">
      <c r="A3" s="531"/>
      <c r="B3" s="532"/>
      <c r="C3" s="532"/>
      <c r="D3" s="533"/>
      <c r="E3" s="537" t="s">
        <v>5</v>
      </c>
      <c r="F3" s="537"/>
      <c r="G3" s="537"/>
      <c r="H3" s="537"/>
      <c r="I3" s="538"/>
      <c r="J3" s="342" t="s">
        <v>3</v>
      </c>
      <c r="K3" s="539" t="s">
        <v>5</v>
      </c>
      <c r="L3" s="537"/>
      <c r="M3" s="537"/>
      <c r="N3" s="537"/>
      <c r="O3" s="538"/>
      <c r="P3" s="342" t="s">
        <v>3</v>
      </c>
      <c r="Q3" s="343" t="s">
        <v>6</v>
      </c>
      <c r="R3" s="343" t="s">
        <v>7</v>
      </c>
    </row>
    <row r="4" spans="1:18" ht="18.75">
      <c r="A4" s="534"/>
      <c r="B4" s="535"/>
      <c r="C4" s="535"/>
      <c r="D4" s="536"/>
      <c r="E4" s="344" t="s">
        <v>8</v>
      </c>
      <c r="F4" s="345" t="s">
        <v>9</v>
      </c>
      <c r="G4" s="345" t="s">
        <v>10</v>
      </c>
      <c r="H4" s="345" t="s">
        <v>11</v>
      </c>
      <c r="I4" s="345" t="s">
        <v>12</v>
      </c>
      <c r="J4" s="345" t="s">
        <v>13</v>
      </c>
      <c r="K4" s="345" t="s">
        <v>8</v>
      </c>
      <c r="L4" s="345" t="s">
        <v>9</v>
      </c>
      <c r="M4" s="345" t="s">
        <v>10</v>
      </c>
      <c r="N4" s="345" t="s">
        <v>11</v>
      </c>
      <c r="O4" s="345" t="s">
        <v>12</v>
      </c>
      <c r="P4" s="345" t="s">
        <v>13</v>
      </c>
      <c r="Q4" s="346"/>
      <c r="R4" s="347"/>
    </row>
    <row r="5" spans="1:18" ht="19.5">
      <c r="A5" s="348" t="s">
        <v>14</v>
      </c>
      <c r="B5" s="349"/>
      <c r="C5" s="349"/>
      <c r="D5" s="350"/>
      <c r="E5" s="351">
        <f>E6+E16+E59+E61+E67+E98+E122+E128</f>
        <v>11160.349999999999</v>
      </c>
      <c r="F5" s="351">
        <f aca="true" t="shared" si="0" ref="F5:R5">F6+F16+F59+F61+F67+F98+F122+F128</f>
        <v>79.25</v>
      </c>
      <c r="G5" s="351">
        <f t="shared" si="0"/>
        <v>104.23</v>
      </c>
      <c r="H5" s="351">
        <f t="shared" si="0"/>
        <v>2.5</v>
      </c>
      <c r="I5" s="351">
        <f t="shared" si="0"/>
        <v>297.3</v>
      </c>
      <c r="J5" s="351">
        <f t="shared" si="0"/>
        <v>11457.649999999998</v>
      </c>
      <c r="K5" s="351">
        <f t="shared" si="0"/>
        <v>0</v>
      </c>
      <c r="L5" s="351">
        <f t="shared" si="0"/>
        <v>0</v>
      </c>
      <c r="M5" s="351">
        <f t="shared" si="0"/>
        <v>0</v>
      </c>
      <c r="N5" s="351">
        <f t="shared" si="0"/>
        <v>0</v>
      </c>
      <c r="O5" s="351">
        <f t="shared" si="0"/>
        <v>0</v>
      </c>
      <c r="P5" s="351">
        <f t="shared" si="0"/>
        <v>0</v>
      </c>
      <c r="Q5" s="351">
        <f t="shared" si="0"/>
        <v>11457.649999999998</v>
      </c>
      <c r="R5" s="351">
        <f t="shared" si="0"/>
        <v>5728.824999999999</v>
      </c>
    </row>
    <row r="6" spans="1:18" ht="19.5">
      <c r="A6" s="352" t="s">
        <v>266</v>
      </c>
      <c r="B6" s="352"/>
      <c r="C6" s="352"/>
      <c r="D6" s="353"/>
      <c r="E6" s="354">
        <f>SUM(E7+E8+E9)</f>
        <v>1766.54</v>
      </c>
      <c r="F6" s="354">
        <f aca="true" t="shared" si="1" ref="F6:R6">SUM(F7+F8+F9)</f>
        <v>0</v>
      </c>
      <c r="G6" s="354">
        <f t="shared" si="1"/>
        <v>0</v>
      </c>
      <c r="H6" s="354">
        <f t="shared" si="1"/>
        <v>0</v>
      </c>
      <c r="I6" s="354">
        <f t="shared" si="1"/>
        <v>0</v>
      </c>
      <c r="J6" s="354">
        <f t="shared" si="1"/>
        <v>1766.54</v>
      </c>
      <c r="K6" s="354">
        <f t="shared" si="1"/>
        <v>0</v>
      </c>
      <c r="L6" s="354">
        <f t="shared" si="1"/>
        <v>0</v>
      </c>
      <c r="M6" s="354">
        <f t="shared" si="1"/>
        <v>0</v>
      </c>
      <c r="N6" s="354">
        <f t="shared" si="1"/>
        <v>0</v>
      </c>
      <c r="O6" s="354">
        <f t="shared" si="1"/>
        <v>0</v>
      </c>
      <c r="P6" s="354">
        <f t="shared" si="1"/>
        <v>0</v>
      </c>
      <c r="Q6" s="354">
        <f t="shared" si="1"/>
        <v>1766.54</v>
      </c>
      <c r="R6" s="354">
        <f t="shared" si="1"/>
        <v>883.27</v>
      </c>
    </row>
    <row r="7" spans="1:18" ht="19.5">
      <c r="A7" s="355"/>
      <c r="B7" s="356" t="s">
        <v>205</v>
      </c>
      <c r="C7" s="356"/>
      <c r="D7" s="357"/>
      <c r="E7" s="358">
        <v>351.21</v>
      </c>
      <c r="F7" s="358"/>
      <c r="G7" s="358"/>
      <c r="H7" s="358"/>
      <c r="I7" s="359">
        <f>SUM(F7:H7)*1.5</f>
        <v>0</v>
      </c>
      <c r="J7" s="359">
        <f>SUM(E7+I7)</f>
        <v>351.21</v>
      </c>
      <c r="K7" s="358"/>
      <c r="L7" s="358"/>
      <c r="M7" s="358"/>
      <c r="N7" s="358"/>
      <c r="O7" s="359">
        <f>SUM(L7:N7)*1.5</f>
        <v>0</v>
      </c>
      <c r="P7" s="359">
        <f>K7+O7</f>
        <v>0</v>
      </c>
      <c r="Q7" s="359">
        <f>J7+P7</f>
        <v>351.21</v>
      </c>
      <c r="R7" s="359">
        <f>Q7/2</f>
        <v>175.605</v>
      </c>
    </row>
    <row r="8" spans="1:18" ht="19.5">
      <c r="A8" s="355"/>
      <c r="B8" s="356" t="s">
        <v>206</v>
      </c>
      <c r="C8" s="356"/>
      <c r="D8" s="357"/>
      <c r="E8" s="358">
        <v>425.64</v>
      </c>
      <c r="F8" s="358"/>
      <c r="G8" s="358"/>
      <c r="H8" s="358"/>
      <c r="I8" s="359">
        <f>SUM(F8:H8)*1.5</f>
        <v>0</v>
      </c>
      <c r="J8" s="359">
        <f>SUM(E8+I8)</f>
        <v>425.64</v>
      </c>
      <c r="K8" s="358"/>
      <c r="L8" s="358"/>
      <c r="M8" s="358"/>
      <c r="N8" s="358"/>
      <c r="O8" s="359">
        <f>SUM(L8:N8)*1.5</f>
        <v>0</v>
      </c>
      <c r="P8" s="359">
        <f>K8+O8</f>
        <v>0</v>
      </c>
      <c r="Q8" s="359">
        <f>J8+P8</f>
        <v>425.64</v>
      </c>
      <c r="R8" s="359">
        <f>Q8/2</f>
        <v>212.82</v>
      </c>
    </row>
    <row r="9" spans="1:18" ht="19.5">
      <c r="A9" s="355"/>
      <c r="B9" s="356" t="s">
        <v>207</v>
      </c>
      <c r="C9" s="356"/>
      <c r="D9" s="357"/>
      <c r="E9" s="360">
        <f>SUM(E10:E13)</f>
        <v>989.69</v>
      </c>
      <c r="F9" s="360">
        <f aca="true" t="shared" si="2" ref="F9:P9">SUM(F10:F13)</f>
        <v>0</v>
      </c>
      <c r="G9" s="360">
        <f t="shared" si="2"/>
        <v>0</v>
      </c>
      <c r="H9" s="360">
        <f t="shared" si="2"/>
        <v>0</v>
      </c>
      <c r="I9" s="360">
        <f t="shared" si="2"/>
        <v>0</v>
      </c>
      <c r="J9" s="360">
        <f>SUM(J10:J13)</f>
        <v>989.69</v>
      </c>
      <c r="K9" s="360">
        <f t="shared" si="2"/>
        <v>0</v>
      </c>
      <c r="L9" s="360">
        <f t="shared" si="2"/>
        <v>0</v>
      </c>
      <c r="M9" s="360">
        <f t="shared" si="2"/>
        <v>0</v>
      </c>
      <c r="N9" s="360">
        <f t="shared" si="2"/>
        <v>0</v>
      </c>
      <c r="O9" s="360">
        <f t="shared" si="2"/>
        <v>0</v>
      </c>
      <c r="P9" s="360">
        <f t="shared" si="2"/>
        <v>0</v>
      </c>
      <c r="Q9" s="360">
        <f>SUM(Q10:Q13)</f>
        <v>989.69</v>
      </c>
      <c r="R9" s="360">
        <f>SUM(R10:R13)</f>
        <v>494.845</v>
      </c>
    </row>
    <row r="10" spans="1:18" ht="19.5">
      <c r="A10" s="355"/>
      <c r="B10" s="361"/>
      <c r="C10" s="361"/>
      <c r="D10" s="362" t="s">
        <v>201</v>
      </c>
      <c r="E10" s="290">
        <v>849.74</v>
      </c>
      <c r="F10" s="358"/>
      <c r="G10" s="358"/>
      <c r="H10" s="358"/>
      <c r="I10" s="359">
        <f>SUM(F10:H10)*1.5</f>
        <v>0</v>
      </c>
      <c r="J10" s="359">
        <f>SUM(E10+I10)</f>
        <v>849.74</v>
      </c>
      <c r="K10" s="363"/>
      <c r="L10" s="358"/>
      <c r="M10" s="358"/>
      <c r="N10" s="358"/>
      <c r="O10" s="359">
        <f>SUM(L10:N10)*1.5</f>
        <v>0</v>
      </c>
      <c r="P10" s="359">
        <f>K10+O10</f>
        <v>0</v>
      </c>
      <c r="Q10" s="359">
        <f>J10+P10</f>
        <v>849.74</v>
      </c>
      <c r="R10" s="359">
        <f>Q10/2</f>
        <v>424.87</v>
      </c>
    </row>
    <row r="11" spans="1:18" ht="19.5">
      <c r="A11" s="355"/>
      <c r="B11" s="361"/>
      <c r="C11" s="361"/>
      <c r="D11" s="362" t="s">
        <v>202</v>
      </c>
      <c r="E11" s="360"/>
      <c r="F11" s="358"/>
      <c r="G11" s="358"/>
      <c r="H11" s="358"/>
      <c r="I11" s="359">
        <f>SUM(F11:H11)*1.5</f>
        <v>0</v>
      </c>
      <c r="J11" s="359">
        <f>SUM(E11+I11)</f>
        <v>0</v>
      </c>
      <c r="K11" s="363"/>
      <c r="L11" s="358"/>
      <c r="M11" s="358"/>
      <c r="N11" s="358"/>
      <c r="O11" s="359">
        <f>SUM(L11:N11)*1.5</f>
        <v>0</v>
      </c>
      <c r="P11" s="359">
        <f>K11+O11</f>
        <v>0</v>
      </c>
      <c r="Q11" s="359">
        <f>J11+P11</f>
        <v>0</v>
      </c>
      <c r="R11" s="359">
        <f>Q11/2</f>
        <v>0</v>
      </c>
    </row>
    <row r="12" spans="1:18" ht="19.5">
      <c r="A12" s="355"/>
      <c r="B12" s="361"/>
      <c r="C12" s="361"/>
      <c r="D12" s="362" t="s">
        <v>203</v>
      </c>
      <c r="E12" s="290">
        <v>139.95</v>
      </c>
      <c r="F12" s="358"/>
      <c r="G12" s="358"/>
      <c r="H12" s="358"/>
      <c r="I12" s="359">
        <f>SUM(F12:H12)*1.5</f>
        <v>0</v>
      </c>
      <c r="J12" s="359">
        <f>SUM(E12+I12)</f>
        <v>139.95</v>
      </c>
      <c r="K12" s="363"/>
      <c r="L12" s="358"/>
      <c r="M12" s="358"/>
      <c r="N12" s="358"/>
      <c r="O12" s="359">
        <f>SUM(L12:N12)*1.5</f>
        <v>0</v>
      </c>
      <c r="P12" s="359">
        <f>K12+O12</f>
        <v>0</v>
      </c>
      <c r="Q12" s="359">
        <f>J12+P12</f>
        <v>139.95</v>
      </c>
      <c r="R12" s="359">
        <f>Q12/2</f>
        <v>69.975</v>
      </c>
    </row>
    <row r="13" spans="1:18" ht="19.5">
      <c r="A13" s="355"/>
      <c r="B13" s="361"/>
      <c r="C13" s="361"/>
      <c r="D13" s="362" t="s">
        <v>204</v>
      </c>
      <c r="E13" s="360"/>
      <c r="F13" s="358"/>
      <c r="G13" s="358"/>
      <c r="H13" s="358"/>
      <c r="I13" s="359">
        <f>SUM(F13:H13)*1.5</f>
        <v>0</v>
      </c>
      <c r="J13" s="359">
        <f>SUM(E13+I13)</f>
        <v>0</v>
      </c>
      <c r="K13" s="363"/>
      <c r="L13" s="358"/>
      <c r="M13" s="358"/>
      <c r="N13" s="358"/>
      <c r="O13" s="359">
        <f>SUM(L13:N13)*1.5</f>
        <v>0</v>
      </c>
      <c r="P13" s="359">
        <f>K13+O13</f>
        <v>0</v>
      </c>
      <c r="Q13" s="359">
        <f>J13+P13</f>
        <v>0</v>
      </c>
      <c r="R13" s="359">
        <f>Q13/2</f>
        <v>0</v>
      </c>
    </row>
    <row r="14" spans="1:18" ht="19.5">
      <c r="A14" s="355"/>
      <c r="B14" s="361" t="s">
        <v>197</v>
      </c>
      <c r="C14" s="361"/>
      <c r="D14" s="364"/>
      <c r="E14" s="360"/>
      <c r="F14" s="358"/>
      <c r="G14" s="358"/>
      <c r="H14" s="358"/>
      <c r="I14" s="359">
        <f>SUM(F14:H14)*1.5</f>
        <v>0</v>
      </c>
      <c r="J14" s="359">
        <f>SUM(E14+I14)</f>
        <v>0</v>
      </c>
      <c r="K14" s="363"/>
      <c r="L14" s="358"/>
      <c r="M14" s="358"/>
      <c r="N14" s="358"/>
      <c r="O14" s="359">
        <f>SUM(L14:N14)*1.5</f>
        <v>0</v>
      </c>
      <c r="P14" s="359">
        <f>K14+O14</f>
        <v>0</v>
      </c>
      <c r="Q14" s="359">
        <f>J14+P14</f>
        <v>0</v>
      </c>
      <c r="R14" s="359">
        <f>Q14/2</f>
        <v>0</v>
      </c>
    </row>
    <row r="15" spans="1:18" ht="19.5" hidden="1">
      <c r="A15" s="361" t="s">
        <v>24</v>
      </c>
      <c r="B15" s="361"/>
      <c r="C15" s="361"/>
      <c r="D15" s="362"/>
      <c r="E15" s="360"/>
      <c r="F15" s="358"/>
      <c r="G15" s="358"/>
      <c r="H15" s="358"/>
      <c r="I15" s="359"/>
      <c r="J15" s="359"/>
      <c r="K15" s="363"/>
      <c r="L15" s="358"/>
      <c r="M15" s="358"/>
      <c r="N15" s="358"/>
      <c r="O15" s="359"/>
      <c r="P15" s="359"/>
      <c r="Q15" s="359"/>
      <c r="R15" s="359"/>
    </row>
    <row r="16" spans="1:18" ht="19.5">
      <c r="A16" s="352" t="s">
        <v>267</v>
      </c>
      <c r="B16" s="352"/>
      <c r="C16" s="352"/>
      <c r="D16" s="353"/>
      <c r="E16" s="354">
        <f>SUM(E17+E44+E54)</f>
        <v>1708.69</v>
      </c>
      <c r="F16" s="354">
        <f aca="true" t="shared" si="3" ref="F16:R16">SUM(F17+F44+F54)</f>
        <v>79.25</v>
      </c>
      <c r="G16" s="354">
        <f t="shared" si="3"/>
        <v>73.75</v>
      </c>
      <c r="H16" s="354">
        <f t="shared" si="3"/>
        <v>0</v>
      </c>
      <c r="I16" s="354">
        <f t="shared" si="3"/>
        <v>229.5</v>
      </c>
      <c r="J16" s="354">
        <f t="shared" si="3"/>
        <v>1938.19</v>
      </c>
      <c r="K16" s="354">
        <f t="shared" si="3"/>
        <v>0</v>
      </c>
      <c r="L16" s="354">
        <f t="shared" si="3"/>
        <v>0</v>
      </c>
      <c r="M16" s="354">
        <f t="shared" si="3"/>
        <v>0</v>
      </c>
      <c r="N16" s="354">
        <f t="shared" si="3"/>
        <v>0</v>
      </c>
      <c r="O16" s="354">
        <f t="shared" si="3"/>
        <v>0</v>
      </c>
      <c r="P16" s="354">
        <f t="shared" si="3"/>
        <v>0</v>
      </c>
      <c r="Q16" s="354">
        <f t="shared" si="3"/>
        <v>1938.19</v>
      </c>
      <c r="R16" s="354">
        <f t="shared" si="3"/>
        <v>969.095</v>
      </c>
    </row>
    <row r="17" spans="1:18" ht="19.5">
      <c r="A17" s="356"/>
      <c r="B17" s="365" t="s">
        <v>167</v>
      </c>
      <c r="C17" s="356"/>
      <c r="D17" s="357"/>
      <c r="E17" s="360">
        <f>SUM(E18+E24+E29+E34+E38+E43)</f>
        <v>1400.6200000000001</v>
      </c>
      <c r="F17" s="360">
        <f aca="true" t="shared" si="4" ref="F17:R17">SUM(F18+F24+F29+F34+F38+F43)</f>
        <v>79.25</v>
      </c>
      <c r="G17" s="360">
        <f t="shared" si="4"/>
        <v>63.75</v>
      </c>
      <c r="H17" s="360">
        <f t="shared" si="4"/>
        <v>0</v>
      </c>
      <c r="I17" s="360">
        <f t="shared" si="4"/>
        <v>214.5</v>
      </c>
      <c r="J17" s="360">
        <f t="shared" si="4"/>
        <v>1615.1200000000001</v>
      </c>
      <c r="K17" s="360">
        <f t="shared" si="4"/>
        <v>0</v>
      </c>
      <c r="L17" s="360">
        <f t="shared" si="4"/>
        <v>0</v>
      </c>
      <c r="M17" s="360">
        <f t="shared" si="4"/>
        <v>0</v>
      </c>
      <c r="N17" s="360">
        <f t="shared" si="4"/>
        <v>0</v>
      </c>
      <c r="O17" s="360">
        <f t="shared" si="4"/>
        <v>0</v>
      </c>
      <c r="P17" s="360">
        <f t="shared" si="4"/>
        <v>0</v>
      </c>
      <c r="Q17" s="360">
        <f t="shared" si="4"/>
        <v>1615.1200000000001</v>
      </c>
      <c r="R17" s="360">
        <f t="shared" si="4"/>
        <v>807.5600000000001</v>
      </c>
    </row>
    <row r="18" spans="1:18" ht="19.5">
      <c r="A18" s="355"/>
      <c r="B18" s="366"/>
      <c r="C18" s="365" t="s">
        <v>168</v>
      </c>
      <c r="D18" s="364"/>
      <c r="E18" s="367">
        <f>SUM(E19:E22)</f>
        <v>210.51000000000002</v>
      </c>
      <c r="F18" s="367">
        <f>SUM(F19:F22)</f>
        <v>15.75</v>
      </c>
      <c r="G18" s="367">
        <f>SUM(G19:G22)</f>
        <v>22.25</v>
      </c>
      <c r="H18" s="367">
        <f aca="true" t="shared" si="5" ref="H18:R18">SUM(H19:H22)</f>
        <v>0</v>
      </c>
      <c r="I18" s="367">
        <f>SUM(I19:I22)</f>
        <v>57</v>
      </c>
      <c r="J18" s="367">
        <f>SUM(J19:J22)</f>
        <v>267.51</v>
      </c>
      <c r="K18" s="367">
        <f t="shared" si="5"/>
        <v>0</v>
      </c>
      <c r="L18" s="367">
        <f t="shared" si="5"/>
        <v>0</v>
      </c>
      <c r="M18" s="367">
        <f t="shared" si="5"/>
        <v>0</v>
      </c>
      <c r="N18" s="367">
        <f t="shared" si="5"/>
        <v>0</v>
      </c>
      <c r="O18" s="367">
        <f t="shared" si="5"/>
        <v>0</v>
      </c>
      <c r="P18" s="367">
        <f t="shared" si="5"/>
        <v>0</v>
      </c>
      <c r="Q18" s="367">
        <f t="shared" si="5"/>
        <v>267.51</v>
      </c>
      <c r="R18" s="367">
        <f t="shared" si="5"/>
        <v>133.755</v>
      </c>
    </row>
    <row r="19" spans="1:18" ht="19.5">
      <c r="A19" s="355"/>
      <c r="B19" s="368"/>
      <c r="C19" s="368"/>
      <c r="D19" s="274" t="s">
        <v>243</v>
      </c>
      <c r="E19" s="290">
        <v>81.18</v>
      </c>
      <c r="F19" s="359"/>
      <c r="G19" s="359"/>
      <c r="H19" s="359"/>
      <c r="I19" s="359">
        <f>SUM(F19:H19)*1.5</f>
        <v>0</v>
      </c>
      <c r="J19" s="359">
        <f>SUM(E19+I19)</f>
        <v>81.18</v>
      </c>
      <c r="K19" s="359"/>
      <c r="L19" s="359"/>
      <c r="M19" s="359"/>
      <c r="N19" s="359"/>
      <c r="O19" s="359">
        <f>SUM(L19:N19)*1.5</f>
        <v>0</v>
      </c>
      <c r="P19" s="358">
        <f>K19+O19</f>
        <v>0</v>
      </c>
      <c r="Q19" s="359">
        <f>J19+P19</f>
        <v>81.18</v>
      </c>
      <c r="R19" s="359">
        <f>Q19/2</f>
        <v>40.59</v>
      </c>
    </row>
    <row r="20" spans="1:18" ht="19.5">
      <c r="A20" s="355"/>
      <c r="B20" s="368"/>
      <c r="C20" s="368"/>
      <c r="D20" s="274" t="s">
        <v>244</v>
      </c>
      <c r="E20" s="367"/>
      <c r="F20" s="359"/>
      <c r="G20" s="290">
        <v>14.5</v>
      </c>
      <c r="H20" s="359"/>
      <c r="I20" s="359">
        <f>SUM(F20:H20)*1.5</f>
        <v>21.75</v>
      </c>
      <c r="J20" s="359">
        <f>SUM(E20+I20)</f>
        <v>21.75</v>
      </c>
      <c r="K20" s="359"/>
      <c r="L20" s="359"/>
      <c r="M20" s="359"/>
      <c r="N20" s="359"/>
      <c r="O20" s="359">
        <f>SUM(L20:N20)*1.5</f>
        <v>0</v>
      </c>
      <c r="P20" s="358">
        <f>K20+O20</f>
        <v>0</v>
      </c>
      <c r="Q20" s="359">
        <f>J20+P20</f>
        <v>21.75</v>
      </c>
      <c r="R20" s="359">
        <f>Q20/2</f>
        <v>10.875</v>
      </c>
    </row>
    <row r="21" spans="1:18" ht="19.5">
      <c r="A21" s="355"/>
      <c r="B21" s="368"/>
      <c r="C21" s="368"/>
      <c r="D21" s="274" t="s">
        <v>245</v>
      </c>
      <c r="E21" s="367"/>
      <c r="F21" s="359"/>
      <c r="G21" s="290">
        <v>7.75</v>
      </c>
      <c r="H21" s="359"/>
      <c r="I21" s="359">
        <f>SUM(F21:H21)*1.5</f>
        <v>11.625</v>
      </c>
      <c r="J21" s="359">
        <f>SUM(E21+I21)</f>
        <v>11.625</v>
      </c>
      <c r="K21" s="359"/>
      <c r="L21" s="359"/>
      <c r="M21" s="359"/>
      <c r="N21" s="359"/>
      <c r="O21" s="359">
        <f>SUM(L21:N21)*1.5</f>
        <v>0</v>
      </c>
      <c r="P21" s="358">
        <f>K21+O21</f>
        <v>0</v>
      </c>
      <c r="Q21" s="359">
        <f>J21+P21</f>
        <v>11.625</v>
      </c>
      <c r="R21" s="359">
        <f>Q21/2</f>
        <v>5.8125</v>
      </c>
    </row>
    <row r="22" spans="1:18" ht="19.5">
      <c r="A22" s="355"/>
      <c r="B22" s="368"/>
      <c r="C22" s="368"/>
      <c r="D22" s="362" t="s">
        <v>242</v>
      </c>
      <c r="E22" s="358">
        <v>129.33</v>
      </c>
      <c r="F22" s="358">
        <v>15.75</v>
      </c>
      <c r="G22" s="359"/>
      <c r="H22" s="359"/>
      <c r="I22" s="359">
        <f>SUM(F22:H22)*1.5</f>
        <v>23.625</v>
      </c>
      <c r="J22" s="359">
        <f>SUM(E22+I22)</f>
        <v>152.955</v>
      </c>
      <c r="K22" s="359"/>
      <c r="L22" s="359"/>
      <c r="M22" s="359"/>
      <c r="N22" s="359"/>
      <c r="O22" s="359">
        <f>SUM(L22:N22)*1.5</f>
        <v>0</v>
      </c>
      <c r="P22" s="358">
        <f>K22+O22</f>
        <v>0</v>
      </c>
      <c r="Q22" s="359">
        <f>J22+P22</f>
        <v>152.955</v>
      </c>
      <c r="R22" s="359">
        <f>Q22/2</f>
        <v>76.4775</v>
      </c>
    </row>
    <row r="23" spans="1:18" ht="19.5">
      <c r="A23" s="355"/>
      <c r="B23" s="368"/>
      <c r="C23" s="368"/>
      <c r="D23" s="362" t="s">
        <v>197</v>
      </c>
      <c r="E23" s="367"/>
      <c r="F23" s="359"/>
      <c r="G23" s="359"/>
      <c r="H23" s="359"/>
      <c r="I23" s="359">
        <f>SUM(F23:H23)*1.5</f>
        <v>0</v>
      </c>
      <c r="J23" s="359">
        <f>SUM(E23+I23)</f>
        <v>0</v>
      </c>
      <c r="K23" s="359"/>
      <c r="L23" s="359"/>
      <c r="M23" s="359"/>
      <c r="N23" s="359"/>
      <c r="O23" s="359">
        <f>SUM(L23:N23)*1.5</f>
        <v>0</v>
      </c>
      <c r="P23" s="358">
        <f>K23+O23</f>
        <v>0</v>
      </c>
      <c r="Q23" s="359">
        <f>J23+P23</f>
        <v>0</v>
      </c>
      <c r="R23" s="359">
        <f>Q23/2</f>
        <v>0</v>
      </c>
    </row>
    <row r="24" spans="1:18" ht="19.5">
      <c r="A24" s="355"/>
      <c r="B24" s="366"/>
      <c r="C24" s="365" t="s">
        <v>173</v>
      </c>
      <c r="D24" s="364"/>
      <c r="E24" s="360">
        <f>SUM(E25:E26)</f>
        <v>445.67</v>
      </c>
      <c r="F24" s="360">
        <f aca="true" t="shared" si="6" ref="F24:R24">SUM(F25:F26)</f>
        <v>16.25</v>
      </c>
      <c r="G24" s="360">
        <f t="shared" si="6"/>
        <v>3.25</v>
      </c>
      <c r="H24" s="360">
        <f t="shared" si="6"/>
        <v>0</v>
      </c>
      <c r="I24" s="360">
        <f t="shared" si="6"/>
        <v>29.25</v>
      </c>
      <c r="J24" s="360">
        <f t="shared" si="6"/>
        <v>474.92</v>
      </c>
      <c r="K24" s="360">
        <f t="shared" si="6"/>
        <v>0</v>
      </c>
      <c r="L24" s="360">
        <f t="shared" si="6"/>
        <v>0</v>
      </c>
      <c r="M24" s="360">
        <f t="shared" si="6"/>
        <v>0</v>
      </c>
      <c r="N24" s="360">
        <f t="shared" si="6"/>
        <v>0</v>
      </c>
      <c r="O24" s="360">
        <f t="shared" si="6"/>
        <v>0</v>
      </c>
      <c r="P24" s="360">
        <f t="shared" si="6"/>
        <v>0</v>
      </c>
      <c r="Q24" s="360">
        <f t="shared" si="6"/>
        <v>474.92</v>
      </c>
      <c r="R24" s="360">
        <f t="shared" si="6"/>
        <v>237.46</v>
      </c>
    </row>
    <row r="25" spans="1:18" ht="19.5">
      <c r="A25" s="355"/>
      <c r="B25" s="368"/>
      <c r="C25" s="356"/>
      <c r="D25" s="274" t="s">
        <v>247</v>
      </c>
      <c r="E25" s="360"/>
      <c r="F25" s="358"/>
      <c r="G25" s="358">
        <v>3</v>
      </c>
      <c r="H25" s="358"/>
      <c r="I25" s="359">
        <f>SUM(F25:H25)*1.5</f>
        <v>4.5</v>
      </c>
      <c r="J25" s="369">
        <f>SUM(E25+I25)</f>
        <v>4.5</v>
      </c>
      <c r="K25" s="358"/>
      <c r="L25" s="358"/>
      <c r="M25" s="358"/>
      <c r="N25" s="358"/>
      <c r="O25" s="359">
        <f>SUM(L25:N25)*1.5</f>
        <v>0</v>
      </c>
      <c r="P25" s="358">
        <f>K25+O25</f>
        <v>0</v>
      </c>
      <c r="Q25" s="369">
        <f>J25+P25</f>
        <v>4.5</v>
      </c>
      <c r="R25" s="369">
        <f>Q25/2</f>
        <v>2.25</v>
      </c>
    </row>
    <row r="26" spans="1:18" ht="19.5">
      <c r="A26" s="355"/>
      <c r="B26" s="368"/>
      <c r="C26" s="356"/>
      <c r="D26" s="362" t="s">
        <v>242</v>
      </c>
      <c r="E26" s="358">
        <v>445.67</v>
      </c>
      <c r="F26" s="358">
        <v>16.25</v>
      </c>
      <c r="G26" s="358">
        <v>0.25</v>
      </c>
      <c r="H26" s="358"/>
      <c r="I26" s="359">
        <f>SUM(F26:H26)*1.5</f>
        <v>24.75</v>
      </c>
      <c r="J26" s="369">
        <f>SUM(E26+I26)</f>
        <v>470.42</v>
      </c>
      <c r="K26" s="358"/>
      <c r="L26" s="358"/>
      <c r="M26" s="358"/>
      <c r="N26" s="358"/>
      <c r="O26" s="359">
        <f>SUM(L26:N26)*1.5</f>
        <v>0</v>
      </c>
      <c r="P26" s="358">
        <f>K26+O26</f>
        <v>0</v>
      </c>
      <c r="Q26" s="369">
        <f>J26+P26</f>
        <v>470.42</v>
      </c>
      <c r="R26" s="369">
        <f>Q26/2</f>
        <v>235.21</v>
      </c>
    </row>
    <row r="27" spans="1:18" ht="19.5">
      <c r="A27" s="355"/>
      <c r="B27" s="368"/>
      <c r="C27" s="356"/>
      <c r="D27" s="362" t="s">
        <v>197</v>
      </c>
      <c r="E27" s="360"/>
      <c r="F27" s="358"/>
      <c r="G27" s="358">
        <v>1.5</v>
      </c>
      <c r="H27" s="358"/>
      <c r="I27" s="359">
        <f>SUM(F27:H27)*1.5</f>
        <v>2.25</v>
      </c>
      <c r="J27" s="369">
        <f>SUM(E27+I27)</f>
        <v>2.25</v>
      </c>
      <c r="K27" s="358"/>
      <c r="L27" s="358"/>
      <c r="M27" s="358"/>
      <c r="N27" s="358"/>
      <c r="O27" s="359">
        <f>SUM(L27:N27)*1.5</f>
        <v>0</v>
      </c>
      <c r="P27" s="358">
        <f>K27+O27</f>
        <v>0</v>
      </c>
      <c r="Q27" s="369">
        <f>J27+P27</f>
        <v>2.25</v>
      </c>
      <c r="R27" s="369">
        <f>Q27/2</f>
        <v>1.125</v>
      </c>
    </row>
    <row r="28" spans="1:18" ht="19.5">
      <c r="A28" s="355"/>
      <c r="B28" s="368"/>
      <c r="C28" s="356"/>
      <c r="D28" s="362" t="s">
        <v>246</v>
      </c>
      <c r="E28" s="360"/>
      <c r="F28" s="358"/>
      <c r="G28" s="358"/>
      <c r="H28" s="358"/>
      <c r="I28" s="359">
        <f>SUM(F28:H28)*1.5</f>
        <v>0</v>
      </c>
      <c r="J28" s="369">
        <f>SUM(E28+I28)</f>
        <v>0</v>
      </c>
      <c r="K28" s="358"/>
      <c r="L28" s="358"/>
      <c r="M28" s="358"/>
      <c r="N28" s="358"/>
      <c r="O28" s="359">
        <f>SUM(L28:N28)*1.5</f>
        <v>0</v>
      </c>
      <c r="P28" s="358">
        <f>K28+O28</f>
        <v>0</v>
      </c>
      <c r="Q28" s="369">
        <f>J28+P28</f>
        <v>0</v>
      </c>
      <c r="R28" s="369">
        <f>Q28/2</f>
        <v>0</v>
      </c>
    </row>
    <row r="29" spans="1:18" ht="19.5">
      <c r="A29" s="355"/>
      <c r="B29" s="366"/>
      <c r="C29" s="365" t="s">
        <v>169</v>
      </c>
      <c r="D29" s="364"/>
      <c r="E29" s="360">
        <f>SUM(E30:E32)</f>
        <v>270.18</v>
      </c>
      <c r="F29" s="360">
        <f aca="true" t="shared" si="7" ref="F29:R29">SUM(F30:F32)</f>
        <v>15.75</v>
      </c>
      <c r="G29" s="360">
        <f t="shared" si="7"/>
        <v>17.25</v>
      </c>
      <c r="H29" s="360">
        <f t="shared" si="7"/>
        <v>0</v>
      </c>
      <c r="I29" s="360">
        <f t="shared" si="7"/>
        <v>49.5</v>
      </c>
      <c r="J29" s="360">
        <f t="shared" si="7"/>
        <v>319.68</v>
      </c>
      <c r="K29" s="360">
        <f t="shared" si="7"/>
        <v>0</v>
      </c>
      <c r="L29" s="360">
        <f t="shared" si="7"/>
        <v>0</v>
      </c>
      <c r="M29" s="360">
        <f t="shared" si="7"/>
        <v>0</v>
      </c>
      <c r="N29" s="360">
        <f t="shared" si="7"/>
        <v>0</v>
      </c>
      <c r="O29" s="360">
        <f t="shared" si="7"/>
        <v>0</v>
      </c>
      <c r="P29" s="360">
        <f t="shared" si="7"/>
        <v>0</v>
      </c>
      <c r="Q29" s="360">
        <f t="shared" si="7"/>
        <v>319.68</v>
      </c>
      <c r="R29" s="360">
        <f t="shared" si="7"/>
        <v>159.84</v>
      </c>
    </row>
    <row r="30" spans="1:18" ht="19.5">
      <c r="A30" s="355"/>
      <c r="B30" s="368"/>
      <c r="C30" s="356"/>
      <c r="D30" s="274" t="s">
        <v>248</v>
      </c>
      <c r="E30" s="290">
        <v>159.68</v>
      </c>
      <c r="F30" s="290">
        <v>0</v>
      </c>
      <c r="G30" s="290">
        <v>4.5</v>
      </c>
      <c r="H30" s="358"/>
      <c r="I30" s="359">
        <f>SUM(F30:H30)*1.5</f>
        <v>6.75</v>
      </c>
      <c r="J30" s="369">
        <f>SUM(E30+I30)</f>
        <v>166.43</v>
      </c>
      <c r="K30" s="358"/>
      <c r="L30" s="358"/>
      <c r="M30" s="358"/>
      <c r="N30" s="358"/>
      <c r="O30" s="359">
        <f>SUM(L30:N30)*1.5</f>
        <v>0</v>
      </c>
      <c r="P30" s="358">
        <f>K30+O30</f>
        <v>0</v>
      </c>
      <c r="Q30" s="369">
        <f>J30+P30</f>
        <v>166.43</v>
      </c>
      <c r="R30" s="369">
        <f>Q30/2</f>
        <v>83.215</v>
      </c>
    </row>
    <row r="31" spans="1:18" ht="19.5">
      <c r="A31" s="355"/>
      <c r="B31" s="368"/>
      <c r="C31" s="356"/>
      <c r="D31" s="274" t="s">
        <v>249</v>
      </c>
      <c r="E31" s="360"/>
      <c r="F31" s="358"/>
      <c r="G31" s="294">
        <v>12.75</v>
      </c>
      <c r="H31" s="358"/>
      <c r="I31" s="359">
        <f>SUM(F31:H31)*1.5</f>
        <v>19.125</v>
      </c>
      <c r="J31" s="369">
        <f>SUM(E31+I31)</f>
        <v>19.125</v>
      </c>
      <c r="K31" s="358"/>
      <c r="L31" s="358"/>
      <c r="M31" s="358"/>
      <c r="N31" s="358"/>
      <c r="O31" s="359">
        <f>SUM(L31:N31)*1.5</f>
        <v>0</v>
      </c>
      <c r="P31" s="358">
        <f>K31+O31</f>
        <v>0</v>
      </c>
      <c r="Q31" s="369">
        <f>J31+P31</f>
        <v>19.125</v>
      </c>
      <c r="R31" s="369">
        <f>Q31/2</f>
        <v>9.5625</v>
      </c>
    </row>
    <row r="32" spans="1:18" ht="19.5">
      <c r="A32" s="355"/>
      <c r="B32" s="368"/>
      <c r="C32" s="356"/>
      <c r="D32" s="362" t="s">
        <v>242</v>
      </c>
      <c r="E32" s="370">
        <v>110.5</v>
      </c>
      <c r="F32" s="370">
        <v>15.75</v>
      </c>
      <c r="G32" s="358"/>
      <c r="H32" s="358"/>
      <c r="I32" s="359">
        <f>SUM(F32:H32)*1.5</f>
        <v>23.625</v>
      </c>
      <c r="J32" s="369">
        <f>SUM(E32+I32)</f>
        <v>134.125</v>
      </c>
      <c r="K32" s="358"/>
      <c r="L32" s="358"/>
      <c r="M32" s="358"/>
      <c r="N32" s="358"/>
      <c r="O32" s="359">
        <f>SUM(L32:N32)*1.5</f>
        <v>0</v>
      </c>
      <c r="P32" s="358">
        <f>K32+O32</f>
        <v>0</v>
      </c>
      <c r="Q32" s="369">
        <f>J32+P32</f>
        <v>134.125</v>
      </c>
      <c r="R32" s="369">
        <f>Q32/2</f>
        <v>67.0625</v>
      </c>
    </row>
    <row r="33" spans="1:18" ht="19.5">
      <c r="A33" s="355"/>
      <c r="B33" s="368"/>
      <c r="C33" s="356"/>
      <c r="D33" s="362" t="s">
        <v>197</v>
      </c>
      <c r="E33" s="360"/>
      <c r="F33" s="358"/>
      <c r="G33" s="358"/>
      <c r="H33" s="358"/>
      <c r="I33" s="359">
        <f>SUM(F33:H33)*1.5</f>
        <v>0</v>
      </c>
      <c r="J33" s="369">
        <f>SUM(E33+I33)</f>
        <v>0</v>
      </c>
      <c r="K33" s="358"/>
      <c r="L33" s="358"/>
      <c r="M33" s="358"/>
      <c r="N33" s="358"/>
      <c r="O33" s="359">
        <f>SUM(L33:N33)*1.5</f>
        <v>0</v>
      </c>
      <c r="P33" s="358">
        <f>K33+O33</f>
        <v>0</v>
      </c>
      <c r="Q33" s="369">
        <f>J33+P33</f>
        <v>0</v>
      </c>
      <c r="R33" s="369">
        <f>Q33/2</f>
        <v>0</v>
      </c>
    </row>
    <row r="34" spans="1:18" ht="19.5">
      <c r="A34" s="355"/>
      <c r="B34" s="366"/>
      <c r="C34" s="365" t="s">
        <v>170</v>
      </c>
      <c r="D34" s="364"/>
      <c r="E34" s="360">
        <f>SUM(E35:E36)</f>
        <v>141.01</v>
      </c>
      <c r="F34" s="360">
        <f aca="true" t="shared" si="8" ref="F34:R34">SUM(F35:F36)</f>
        <v>15.75</v>
      </c>
      <c r="G34" s="360">
        <f t="shared" si="8"/>
        <v>6.5</v>
      </c>
      <c r="H34" s="360">
        <f t="shared" si="8"/>
        <v>0</v>
      </c>
      <c r="I34" s="360">
        <f t="shared" si="8"/>
        <v>33.375</v>
      </c>
      <c r="J34" s="360">
        <f t="shared" si="8"/>
        <v>174.385</v>
      </c>
      <c r="K34" s="360">
        <f t="shared" si="8"/>
        <v>0</v>
      </c>
      <c r="L34" s="360">
        <f t="shared" si="8"/>
        <v>0</v>
      </c>
      <c r="M34" s="360">
        <f t="shared" si="8"/>
        <v>0</v>
      </c>
      <c r="N34" s="360">
        <f t="shared" si="8"/>
        <v>0</v>
      </c>
      <c r="O34" s="360">
        <f t="shared" si="8"/>
        <v>0</v>
      </c>
      <c r="P34" s="360">
        <f t="shared" si="8"/>
        <v>0</v>
      </c>
      <c r="Q34" s="360">
        <f t="shared" si="8"/>
        <v>174.385</v>
      </c>
      <c r="R34" s="360">
        <f t="shared" si="8"/>
        <v>87.1925</v>
      </c>
    </row>
    <row r="35" spans="1:18" ht="19.5">
      <c r="A35" s="355"/>
      <c r="B35" s="368"/>
      <c r="C35" s="356"/>
      <c r="D35" s="274" t="s">
        <v>253</v>
      </c>
      <c r="E35" s="290">
        <v>80.01</v>
      </c>
      <c r="F35" s="290">
        <v>0</v>
      </c>
      <c r="G35" s="290">
        <v>6.5</v>
      </c>
      <c r="H35" s="358"/>
      <c r="I35" s="359">
        <f>SUM(F35:H35)*1.5</f>
        <v>9.75</v>
      </c>
      <c r="J35" s="369">
        <f>SUM(E35+I35)</f>
        <v>89.76</v>
      </c>
      <c r="K35" s="358"/>
      <c r="L35" s="358"/>
      <c r="M35" s="358"/>
      <c r="N35" s="358"/>
      <c r="O35" s="359">
        <f>SUM(L35:N35)*1.5</f>
        <v>0</v>
      </c>
      <c r="P35" s="358">
        <f>K35+O35</f>
        <v>0</v>
      </c>
      <c r="Q35" s="369">
        <f>J35+P35</f>
        <v>89.76</v>
      </c>
      <c r="R35" s="369">
        <f>Q35/2</f>
        <v>44.88</v>
      </c>
    </row>
    <row r="36" spans="1:18" ht="19.5">
      <c r="A36" s="355"/>
      <c r="B36" s="368"/>
      <c r="C36" s="356"/>
      <c r="D36" s="362" t="s">
        <v>242</v>
      </c>
      <c r="E36" s="358">
        <v>61</v>
      </c>
      <c r="F36" s="358">
        <v>15.75</v>
      </c>
      <c r="G36" s="358"/>
      <c r="H36" s="358"/>
      <c r="I36" s="359">
        <f>SUM(F36:H36)*1.5</f>
        <v>23.625</v>
      </c>
      <c r="J36" s="369">
        <f>SUM(E36+I36)</f>
        <v>84.625</v>
      </c>
      <c r="K36" s="358"/>
      <c r="L36" s="358"/>
      <c r="M36" s="358"/>
      <c r="N36" s="358"/>
      <c r="O36" s="359">
        <f>SUM(L36:N36)*1.5</f>
        <v>0</v>
      </c>
      <c r="P36" s="358">
        <f>K36+O36</f>
        <v>0</v>
      </c>
      <c r="Q36" s="369">
        <f>J36+P36</f>
        <v>84.625</v>
      </c>
      <c r="R36" s="369">
        <f>Q36/2</f>
        <v>42.3125</v>
      </c>
    </row>
    <row r="37" spans="1:18" ht="19.5">
      <c r="A37" s="355"/>
      <c r="B37" s="368"/>
      <c r="C37" s="356"/>
      <c r="D37" s="362" t="s">
        <v>197</v>
      </c>
      <c r="E37" s="360"/>
      <c r="F37" s="358"/>
      <c r="G37" s="358"/>
      <c r="H37" s="358"/>
      <c r="I37" s="359">
        <f>SUM(F37:H37)*1.5</f>
        <v>0</v>
      </c>
      <c r="J37" s="369">
        <f>SUM(E37+I37)</f>
        <v>0</v>
      </c>
      <c r="K37" s="358"/>
      <c r="L37" s="358"/>
      <c r="M37" s="358"/>
      <c r="N37" s="358"/>
      <c r="O37" s="359">
        <f>SUM(L37:N37)*1.5</f>
        <v>0</v>
      </c>
      <c r="P37" s="358">
        <f>K37+O37</f>
        <v>0</v>
      </c>
      <c r="Q37" s="369">
        <f>J37+P37</f>
        <v>0</v>
      </c>
      <c r="R37" s="369">
        <f>Q37/2</f>
        <v>0</v>
      </c>
    </row>
    <row r="38" spans="1:18" ht="19.5">
      <c r="A38" s="355"/>
      <c r="B38" s="366"/>
      <c r="C38" s="365" t="s">
        <v>171</v>
      </c>
      <c r="D38" s="364"/>
      <c r="E38" s="360">
        <f>SUM(E39+E40+E41)</f>
        <v>231.69</v>
      </c>
      <c r="F38" s="360">
        <f>SUM(F39:F41)</f>
        <v>15.75</v>
      </c>
      <c r="G38" s="360">
        <f>SUM(G39:G41)</f>
        <v>14.5</v>
      </c>
      <c r="H38" s="360">
        <f aca="true" t="shared" si="9" ref="H38:R38">SUM(H39:H41)</f>
        <v>0</v>
      </c>
      <c r="I38" s="360">
        <f t="shared" si="9"/>
        <v>45.375</v>
      </c>
      <c r="J38" s="360">
        <f t="shared" si="9"/>
        <v>277.065</v>
      </c>
      <c r="K38" s="360">
        <f t="shared" si="9"/>
        <v>0</v>
      </c>
      <c r="L38" s="360">
        <f t="shared" si="9"/>
        <v>0</v>
      </c>
      <c r="M38" s="360">
        <f t="shared" si="9"/>
        <v>0</v>
      </c>
      <c r="N38" s="360">
        <f t="shared" si="9"/>
        <v>0</v>
      </c>
      <c r="O38" s="360">
        <f t="shared" si="9"/>
        <v>0</v>
      </c>
      <c r="P38" s="360">
        <f t="shared" si="9"/>
        <v>0</v>
      </c>
      <c r="Q38" s="360">
        <f t="shared" si="9"/>
        <v>277.065</v>
      </c>
      <c r="R38" s="360">
        <f t="shared" si="9"/>
        <v>138.5325</v>
      </c>
    </row>
    <row r="39" spans="1:18" ht="19.5">
      <c r="A39" s="355"/>
      <c r="B39" s="368"/>
      <c r="C39" s="356"/>
      <c r="D39" s="274" t="s">
        <v>250</v>
      </c>
      <c r="E39" s="290">
        <v>63.79</v>
      </c>
      <c r="F39" s="290">
        <v>0</v>
      </c>
      <c r="G39" s="290">
        <v>13</v>
      </c>
      <c r="H39" s="358"/>
      <c r="I39" s="359">
        <f>SUM(F39:H39)*1.5</f>
        <v>19.5</v>
      </c>
      <c r="J39" s="369">
        <f>SUM(E39+I39)</f>
        <v>83.28999999999999</v>
      </c>
      <c r="K39" s="358"/>
      <c r="L39" s="358"/>
      <c r="M39" s="358"/>
      <c r="N39" s="358"/>
      <c r="O39" s="359">
        <f>SUM(L39:N39)*1.5</f>
        <v>0</v>
      </c>
      <c r="P39" s="358">
        <f>K39+O39</f>
        <v>0</v>
      </c>
      <c r="Q39" s="369">
        <f>J39+P39</f>
        <v>83.28999999999999</v>
      </c>
      <c r="R39" s="369">
        <f>Q39/2</f>
        <v>41.644999999999996</v>
      </c>
    </row>
    <row r="40" spans="1:18" ht="19.5">
      <c r="A40" s="355"/>
      <c r="B40" s="368"/>
      <c r="C40" s="356"/>
      <c r="D40" s="274" t="s">
        <v>251</v>
      </c>
      <c r="E40" s="290">
        <v>92.73</v>
      </c>
      <c r="F40" s="358"/>
      <c r="G40" s="358"/>
      <c r="H40" s="358"/>
      <c r="I40" s="359">
        <f>SUM(F40:H40)*1.5</f>
        <v>0</v>
      </c>
      <c r="J40" s="369">
        <f>SUM(E40+I40)</f>
        <v>92.73</v>
      </c>
      <c r="K40" s="358"/>
      <c r="L40" s="358"/>
      <c r="M40" s="358"/>
      <c r="N40" s="358"/>
      <c r="O40" s="359">
        <f>SUM(L40:N40)*1.5</f>
        <v>0</v>
      </c>
      <c r="P40" s="358">
        <f>K40+O40</f>
        <v>0</v>
      </c>
      <c r="Q40" s="369">
        <f>J40+P40</f>
        <v>92.73</v>
      </c>
      <c r="R40" s="369">
        <f>Q40/2</f>
        <v>46.365</v>
      </c>
    </row>
    <row r="41" spans="1:18" ht="19.5">
      <c r="A41" s="355"/>
      <c r="B41" s="368"/>
      <c r="C41" s="356"/>
      <c r="D41" s="362" t="s">
        <v>252</v>
      </c>
      <c r="E41" s="358">
        <v>75.17</v>
      </c>
      <c r="F41" s="358">
        <v>15.75</v>
      </c>
      <c r="G41" s="358">
        <v>1.5</v>
      </c>
      <c r="H41" s="358"/>
      <c r="I41" s="359">
        <f>SUM(F41:H41)*1.5</f>
        <v>25.875</v>
      </c>
      <c r="J41" s="369">
        <f>SUM(E41+I41)</f>
        <v>101.045</v>
      </c>
      <c r="K41" s="358"/>
      <c r="L41" s="358"/>
      <c r="M41" s="358"/>
      <c r="N41" s="358"/>
      <c r="O41" s="359">
        <f>SUM(L41:N41)*1.5</f>
        <v>0</v>
      </c>
      <c r="P41" s="358">
        <f>K41+O41</f>
        <v>0</v>
      </c>
      <c r="Q41" s="369">
        <f>J41+P41</f>
        <v>101.045</v>
      </c>
      <c r="R41" s="369">
        <f>Q41/2</f>
        <v>50.5225</v>
      </c>
    </row>
    <row r="42" spans="1:18" ht="19.5">
      <c r="A42" s="355"/>
      <c r="B42" s="368"/>
      <c r="C42" s="356"/>
      <c r="D42" s="362" t="s">
        <v>197</v>
      </c>
      <c r="E42" s="360"/>
      <c r="F42" s="358"/>
      <c r="G42" s="358">
        <v>5.5</v>
      </c>
      <c r="H42" s="358"/>
      <c r="I42" s="359">
        <f>SUM(F42:H42)*1.5</f>
        <v>8.25</v>
      </c>
      <c r="J42" s="369">
        <f>SUM(E42+I42)</f>
        <v>8.25</v>
      </c>
      <c r="K42" s="358"/>
      <c r="L42" s="358"/>
      <c r="M42" s="358"/>
      <c r="N42" s="358"/>
      <c r="O42" s="359">
        <f>SUM(L42:N42)*1.5</f>
        <v>0</v>
      </c>
      <c r="P42" s="358">
        <f>K42+O42</f>
        <v>0</v>
      </c>
      <c r="Q42" s="369">
        <f>J42+P42</f>
        <v>8.25</v>
      </c>
      <c r="R42" s="369">
        <f>Q42/2</f>
        <v>4.125</v>
      </c>
    </row>
    <row r="43" spans="1:18" ht="19.5">
      <c r="A43" s="355"/>
      <c r="B43" s="366"/>
      <c r="C43" s="365" t="s">
        <v>172</v>
      </c>
      <c r="D43" s="364"/>
      <c r="E43" s="290">
        <v>101.56</v>
      </c>
      <c r="F43" s="358"/>
      <c r="G43" s="358"/>
      <c r="H43" s="358"/>
      <c r="I43" s="359">
        <f>SUM(F43:H43)*1.5</f>
        <v>0</v>
      </c>
      <c r="J43" s="369">
        <f>SUM(E43+I43)</f>
        <v>101.56</v>
      </c>
      <c r="K43" s="358"/>
      <c r="L43" s="358"/>
      <c r="M43" s="358"/>
      <c r="N43" s="358"/>
      <c r="O43" s="359">
        <f>SUM(L43:N43)*1.5</f>
        <v>0</v>
      </c>
      <c r="P43" s="358">
        <f>K43+O43</f>
        <v>0</v>
      </c>
      <c r="Q43" s="369">
        <f>J43+P43</f>
        <v>101.56</v>
      </c>
      <c r="R43" s="369">
        <f>Q43/2</f>
        <v>50.78</v>
      </c>
    </row>
    <row r="44" spans="1:18" ht="19.5">
      <c r="A44" s="361"/>
      <c r="B44" s="371" t="s">
        <v>174</v>
      </c>
      <c r="C44" s="361"/>
      <c r="D44" s="362"/>
      <c r="E44" s="367">
        <f>SUM(E45+E49+E50+E51+E52+E53)</f>
        <v>261.9</v>
      </c>
      <c r="F44" s="367">
        <f aca="true" t="shared" si="10" ref="F44:R44">SUM(F45+F49+F50+F51+F52+F53)</f>
        <v>0</v>
      </c>
      <c r="G44" s="367">
        <f t="shared" si="10"/>
        <v>0</v>
      </c>
      <c r="H44" s="367">
        <f t="shared" si="10"/>
        <v>0</v>
      </c>
      <c r="I44" s="367">
        <f t="shared" si="10"/>
        <v>0</v>
      </c>
      <c r="J44" s="367">
        <f t="shared" si="10"/>
        <v>261.9</v>
      </c>
      <c r="K44" s="367">
        <f t="shared" si="10"/>
        <v>0</v>
      </c>
      <c r="L44" s="367">
        <f t="shared" si="10"/>
        <v>0</v>
      </c>
      <c r="M44" s="367">
        <f t="shared" si="10"/>
        <v>0</v>
      </c>
      <c r="N44" s="367">
        <f t="shared" si="10"/>
        <v>0</v>
      </c>
      <c r="O44" s="367">
        <f t="shared" si="10"/>
        <v>0</v>
      </c>
      <c r="P44" s="367">
        <f t="shared" si="10"/>
        <v>0</v>
      </c>
      <c r="Q44" s="367">
        <f t="shared" si="10"/>
        <v>261.9</v>
      </c>
      <c r="R44" s="367">
        <f t="shared" si="10"/>
        <v>130.95</v>
      </c>
    </row>
    <row r="45" spans="1:18" ht="19.5">
      <c r="A45" s="361"/>
      <c r="B45" s="372"/>
      <c r="C45" s="362" t="s">
        <v>175</v>
      </c>
      <c r="D45" s="373"/>
      <c r="E45" s="360">
        <f>SUM(E46:E47)</f>
        <v>261.9</v>
      </c>
      <c r="F45" s="360">
        <f aca="true" t="shared" si="11" ref="F45:R45">SUM(F46:F47)</f>
        <v>0</v>
      </c>
      <c r="G45" s="360">
        <f t="shared" si="11"/>
        <v>0</v>
      </c>
      <c r="H45" s="360">
        <f t="shared" si="11"/>
        <v>0</v>
      </c>
      <c r="I45" s="360">
        <f t="shared" si="11"/>
        <v>0</v>
      </c>
      <c r="J45" s="360">
        <f t="shared" si="11"/>
        <v>261.9</v>
      </c>
      <c r="K45" s="360">
        <f t="shared" si="11"/>
        <v>0</v>
      </c>
      <c r="L45" s="360">
        <f t="shared" si="11"/>
        <v>0</v>
      </c>
      <c r="M45" s="360">
        <f t="shared" si="11"/>
        <v>0</v>
      </c>
      <c r="N45" s="360">
        <f t="shared" si="11"/>
        <v>0</v>
      </c>
      <c r="O45" s="360">
        <f t="shared" si="11"/>
        <v>0</v>
      </c>
      <c r="P45" s="360">
        <f t="shared" si="11"/>
        <v>0</v>
      </c>
      <c r="Q45" s="360">
        <f t="shared" si="11"/>
        <v>261.9</v>
      </c>
      <c r="R45" s="360">
        <f t="shared" si="11"/>
        <v>130.95</v>
      </c>
    </row>
    <row r="46" spans="1:18" ht="19.5">
      <c r="A46" s="361"/>
      <c r="B46" s="372"/>
      <c r="C46" s="372"/>
      <c r="D46" s="274" t="s">
        <v>254</v>
      </c>
      <c r="E46" s="290">
        <v>182.68</v>
      </c>
      <c r="F46" s="358"/>
      <c r="G46" s="358"/>
      <c r="H46" s="358"/>
      <c r="I46" s="359">
        <f aca="true" t="shared" si="12" ref="I46:I53">SUM(F46:H46)*1.5</f>
        <v>0</v>
      </c>
      <c r="J46" s="369">
        <f>SUM(E46+I46)</f>
        <v>182.68</v>
      </c>
      <c r="K46" s="358"/>
      <c r="L46" s="358"/>
      <c r="M46" s="358"/>
      <c r="N46" s="358"/>
      <c r="O46" s="359">
        <f aca="true" t="shared" si="13" ref="O46:O53">SUM(L46:N46)*1.5</f>
        <v>0</v>
      </c>
      <c r="P46" s="369">
        <f>K46+O46</f>
        <v>0</v>
      </c>
      <c r="Q46" s="369">
        <f>J46+P46</f>
        <v>182.68</v>
      </c>
      <c r="R46" s="369">
        <f>Q46/2</f>
        <v>91.34</v>
      </c>
    </row>
    <row r="47" spans="1:18" ht="19.5">
      <c r="A47" s="361"/>
      <c r="B47" s="372"/>
      <c r="C47" s="372"/>
      <c r="D47" s="362" t="s">
        <v>242</v>
      </c>
      <c r="E47" s="358">
        <v>79.22</v>
      </c>
      <c r="F47" s="358"/>
      <c r="G47" s="358"/>
      <c r="H47" s="358"/>
      <c r="I47" s="359">
        <f t="shared" si="12"/>
        <v>0</v>
      </c>
      <c r="J47" s="369">
        <f aca="true" t="shared" si="14" ref="J47:J53">SUM(E47+I47)</f>
        <v>79.22</v>
      </c>
      <c r="K47" s="358"/>
      <c r="L47" s="358"/>
      <c r="M47" s="358"/>
      <c r="N47" s="358"/>
      <c r="O47" s="359">
        <f t="shared" si="13"/>
        <v>0</v>
      </c>
      <c r="P47" s="369">
        <f aca="true" t="shared" si="15" ref="P47:P53">K47+O47</f>
        <v>0</v>
      </c>
      <c r="Q47" s="369">
        <f aca="true" t="shared" si="16" ref="Q47:Q53">J47+P47</f>
        <v>79.22</v>
      </c>
      <c r="R47" s="369">
        <f aca="true" t="shared" si="17" ref="R47:R53">Q47/2</f>
        <v>39.61</v>
      </c>
    </row>
    <row r="48" spans="1:18" ht="19.5">
      <c r="A48" s="361"/>
      <c r="B48" s="372"/>
      <c r="C48" s="372"/>
      <c r="D48" s="374" t="s">
        <v>197</v>
      </c>
      <c r="E48" s="358"/>
      <c r="F48" s="360"/>
      <c r="G48" s="358"/>
      <c r="H48" s="358"/>
      <c r="I48" s="359">
        <f t="shared" si="12"/>
        <v>0</v>
      </c>
      <c r="J48" s="369">
        <f t="shared" si="14"/>
        <v>0</v>
      </c>
      <c r="K48" s="358"/>
      <c r="L48" s="358"/>
      <c r="M48" s="358"/>
      <c r="N48" s="358"/>
      <c r="O48" s="359">
        <f t="shared" si="13"/>
        <v>0</v>
      </c>
      <c r="P48" s="369">
        <f t="shared" si="15"/>
        <v>0</v>
      </c>
      <c r="Q48" s="369">
        <f t="shared" si="16"/>
        <v>0</v>
      </c>
      <c r="R48" s="369">
        <f t="shared" si="17"/>
        <v>0</v>
      </c>
    </row>
    <row r="49" spans="1:18" ht="19.5">
      <c r="A49" s="361"/>
      <c r="B49" s="372"/>
      <c r="C49" s="361" t="s">
        <v>176</v>
      </c>
      <c r="D49" s="364"/>
      <c r="E49" s="358"/>
      <c r="F49" s="360"/>
      <c r="G49" s="358"/>
      <c r="H49" s="358"/>
      <c r="I49" s="359">
        <f t="shared" si="12"/>
        <v>0</v>
      </c>
      <c r="J49" s="369">
        <f t="shared" si="14"/>
        <v>0</v>
      </c>
      <c r="K49" s="358"/>
      <c r="L49" s="358"/>
      <c r="M49" s="358"/>
      <c r="N49" s="358"/>
      <c r="O49" s="359">
        <f t="shared" si="13"/>
        <v>0</v>
      </c>
      <c r="P49" s="369">
        <f t="shared" si="15"/>
        <v>0</v>
      </c>
      <c r="Q49" s="369">
        <f t="shared" si="16"/>
        <v>0</v>
      </c>
      <c r="R49" s="369">
        <f t="shared" si="17"/>
        <v>0</v>
      </c>
    </row>
    <row r="50" spans="1:18" ht="19.5">
      <c r="A50" s="361"/>
      <c r="B50" s="372"/>
      <c r="C50" s="361" t="s">
        <v>177</v>
      </c>
      <c r="D50" s="364"/>
      <c r="E50" s="358"/>
      <c r="F50" s="360"/>
      <c r="G50" s="358"/>
      <c r="H50" s="358"/>
      <c r="I50" s="359">
        <f t="shared" si="12"/>
        <v>0</v>
      </c>
      <c r="J50" s="369">
        <f t="shared" si="14"/>
        <v>0</v>
      </c>
      <c r="K50" s="358"/>
      <c r="L50" s="358"/>
      <c r="M50" s="358"/>
      <c r="N50" s="358"/>
      <c r="O50" s="359">
        <f t="shared" si="13"/>
        <v>0</v>
      </c>
      <c r="P50" s="369">
        <f t="shared" si="15"/>
        <v>0</v>
      </c>
      <c r="Q50" s="369">
        <f t="shared" si="16"/>
        <v>0</v>
      </c>
      <c r="R50" s="369">
        <f t="shared" si="17"/>
        <v>0</v>
      </c>
    </row>
    <row r="51" spans="1:18" ht="19.5">
      <c r="A51" s="361"/>
      <c r="B51" s="372"/>
      <c r="C51" s="361" t="s">
        <v>260</v>
      </c>
      <c r="D51" s="364"/>
      <c r="E51" s="359"/>
      <c r="F51" s="367"/>
      <c r="G51" s="359"/>
      <c r="H51" s="359"/>
      <c r="I51" s="359">
        <f t="shared" si="12"/>
        <v>0</v>
      </c>
      <c r="J51" s="369">
        <f t="shared" si="14"/>
        <v>0</v>
      </c>
      <c r="K51" s="359"/>
      <c r="L51" s="359"/>
      <c r="M51" s="359"/>
      <c r="N51" s="359"/>
      <c r="O51" s="359">
        <f t="shared" si="13"/>
        <v>0</v>
      </c>
      <c r="P51" s="369">
        <f t="shared" si="15"/>
        <v>0</v>
      </c>
      <c r="Q51" s="369">
        <f t="shared" si="16"/>
        <v>0</v>
      </c>
      <c r="R51" s="369">
        <f t="shared" si="17"/>
        <v>0</v>
      </c>
    </row>
    <row r="52" spans="1:18" ht="19.5">
      <c r="A52" s="361"/>
      <c r="B52" s="372"/>
      <c r="C52" s="361" t="s">
        <v>179</v>
      </c>
      <c r="D52" s="364"/>
      <c r="E52" s="358"/>
      <c r="F52" s="360"/>
      <c r="G52" s="358"/>
      <c r="H52" s="358"/>
      <c r="I52" s="359">
        <f t="shared" si="12"/>
        <v>0</v>
      </c>
      <c r="J52" s="369">
        <f t="shared" si="14"/>
        <v>0</v>
      </c>
      <c r="K52" s="358"/>
      <c r="L52" s="358"/>
      <c r="M52" s="358"/>
      <c r="N52" s="358"/>
      <c r="O52" s="359">
        <f t="shared" si="13"/>
        <v>0</v>
      </c>
      <c r="P52" s="369">
        <f t="shared" si="15"/>
        <v>0</v>
      </c>
      <c r="Q52" s="369">
        <f t="shared" si="16"/>
        <v>0</v>
      </c>
      <c r="R52" s="369">
        <f t="shared" si="17"/>
        <v>0</v>
      </c>
    </row>
    <row r="53" spans="1:18" ht="19.5">
      <c r="A53" s="361"/>
      <c r="B53" s="372"/>
      <c r="C53" s="361" t="s">
        <v>180</v>
      </c>
      <c r="D53" s="364"/>
      <c r="E53" s="358"/>
      <c r="F53" s="360"/>
      <c r="G53" s="358"/>
      <c r="H53" s="358"/>
      <c r="I53" s="359">
        <f t="shared" si="12"/>
        <v>0</v>
      </c>
      <c r="J53" s="369">
        <f t="shared" si="14"/>
        <v>0</v>
      </c>
      <c r="K53" s="358"/>
      <c r="L53" s="358"/>
      <c r="M53" s="358"/>
      <c r="N53" s="358"/>
      <c r="O53" s="359">
        <f t="shared" si="13"/>
        <v>0</v>
      </c>
      <c r="P53" s="369">
        <f t="shared" si="15"/>
        <v>0</v>
      </c>
      <c r="Q53" s="369">
        <f t="shared" si="16"/>
        <v>0</v>
      </c>
      <c r="R53" s="369">
        <f t="shared" si="17"/>
        <v>0</v>
      </c>
    </row>
    <row r="54" spans="1:18" ht="19.5">
      <c r="A54" s="361"/>
      <c r="B54" s="371" t="s">
        <v>181</v>
      </c>
      <c r="C54" s="361"/>
      <c r="D54" s="362"/>
      <c r="E54" s="360">
        <f>SUM(E55:E58)</f>
        <v>46.17</v>
      </c>
      <c r="F54" s="360">
        <f aca="true" t="shared" si="18" ref="F54:Q54">SUM(F55:F58)</f>
        <v>0</v>
      </c>
      <c r="G54" s="360">
        <f t="shared" si="18"/>
        <v>10</v>
      </c>
      <c r="H54" s="360">
        <f t="shared" si="18"/>
        <v>0</v>
      </c>
      <c r="I54" s="360">
        <f t="shared" si="18"/>
        <v>15</v>
      </c>
      <c r="J54" s="360">
        <f t="shared" si="18"/>
        <v>61.17</v>
      </c>
      <c r="K54" s="360">
        <f t="shared" si="18"/>
        <v>0</v>
      </c>
      <c r="L54" s="360">
        <f t="shared" si="18"/>
        <v>0</v>
      </c>
      <c r="M54" s="360">
        <f t="shared" si="18"/>
        <v>0</v>
      </c>
      <c r="N54" s="360">
        <f t="shared" si="18"/>
        <v>0</v>
      </c>
      <c r="O54" s="360">
        <f t="shared" si="18"/>
        <v>0</v>
      </c>
      <c r="P54" s="360">
        <f t="shared" si="18"/>
        <v>0</v>
      </c>
      <c r="Q54" s="360">
        <f t="shared" si="18"/>
        <v>61.17</v>
      </c>
      <c r="R54" s="360">
        <f>SUM(R55:R58)</f>
        <v>30.585</v>
      </c>
    </row>
    <row r="55" spans="1:18" ht="19.5">
      <c r="A55" s="361"/>
      <c r="B55" s="372"/>
      <c r="C55" s="372"/>
      <c r="D55" s="362" t="s">
        <v>279</v>
      </c>
      <c r="E55" s="375">
        <v>46.17</v>
      </c>
      <c r="F55" s="363"/>
      <c r="G55" s="363">
        <v>10</v>
      </c>
      <c r="H55" s="363"/>
      <c r="I55" s="376">
        <f>SUM(F55:H55)*1.5</f>
        <v>15</v>
      </c>
      <c r="J55" s="369">
        <f>SUM(E55+I55)</f>
        <v>61.17</v>
      </c>
      <c r="K55" s="358"/>
      <c r="L55" s="358"/>
      <c r="M55" s="358"/>
      <c r="N55" s="358"/>
      <c r="O55" s="359">
        <f>SUM(L55:N55)*1.5</f>
        <v>0</v>
      </c>
      <c r="P55" s="369">
        <f>K55+O55</f>
        <v>0</v>
      </c>
      <c r="Q55" s="369">
        <f>J55+P55</f>
        <v>61.17</v>
      </c>
      <c r="R55" s="369">
        <f>Q55/2</f>
        <v>30.585</v>
      </c>
    </row>
    <row r="56" spans="1:18" ht="19.5">
      <c r="A56" s="361"/>
      <c r="B56" s="372"/>
      <c r="C56" s="372"/>
      <c r="D56" s="362" t="s">
        <v>182</v>
      </c>
      <c r="E56" s="367"/>
      <c r="F56" s="359"/>
      <c r="G56" s="359"/>
      <c r="H56" s="359"/>
      <c r="I56" s="359">
        <f>SUM(F56:H56)*1.5</f>
        <v>0</v>
      </c>
      <c r="J56" s="369">
        <f>SUM(E56+I56)</f>
        <v>0</v>
      </c>
      <c r="K56" s="359"/>
      <c r="L56" s="359"/>
      <c r="M56" s="359"/>
      <c r="N56" s="359"/>
      <c r="O56" s="359">
        <f>SUM(L56:N56)*1.5</f>
        <v>0</v>
      </c>
      <c r="P56" s="369">
        <f>K56+O56</f>
        <v>0</v>
      </c>
      <c r="Q56" s="369">
        <f>J56+P56</f>
        <v>0</v>
      </c>
      <c r="R56" s="369">
        <f>Q56/2</f>
        <v>0</v>
      </c>
    </row>
    <row r="57" spans="1:18" ht="19.5">
      <c r="A57" s="361"/>
      <c r="B57" s="372"/>
      <c r="C57" s="372"/>
      <c r="D57" s="362" t="s">
        <v>183</v>
      </c>
      <c r="E57" s="360"/>
      <c r="F57" s="358"/>
      <c r="G57" s="358"/>
      <c r="H57" s="358"/>
      <c r="I57" s="359">
        <f>SUM(F57:H57)*1.5</f>
        <v>0</v>
      </c>
      <c r="J57" s="369">
        <f>SUM(E57+I57)</f>
        <v>0</v>
      </c>
      <c r="K57" s="358"/>
      <c r="L57" s="358"/>
      <c r="M57" s="358"/>
      <c r="N57" s="358"/>
      <c r="O57" s="359">
        <f>SUM(L57:N57)*1.5</f>
        <v>0</v>
      </c>
      <c r="P57" s="369">
        <f>K57+O57</f>
        <v>0</v>
      </c>
      <c r="Q57" s="369">
        <f>J57+P57</f>
        <v>0</v>
      </c>
      <c r="R57" s="369">
        <f>Q57/2</f>
        <v>0</v>
      </c>
    </row>
    <row r="58" spans="1:18" ht="19.5">
      <c r="A58" s="361"/>
      <c r="B58" s="372"/>
      <c r="C58" s="372"/>
      <c r="D58" s="362" t="s">
        <v>184</v>
      </c>
      <c r="E58" s="377"/>
      <c r="F58" s="370"/>
      <c r="G58" s="370"/>
      <c r="H58" s="370"/>
      <c r="I58" s="359">
        <f>SUM(F58:H58)*1.5</f>
        <v>0</v>
      </c>
      <c r="J58" s="369">
        <f>SUM(E58+I58)</f>
        <v>0</v>
      </c>
      <c r="K58" s="370"/>
      <c r="L58" s="370"/>
      <c r="M58" s="370"/>
      <c r="N58" s="370"/>
      <c r="O58" s="359">
        <f>SUM(L58:N58)*1.5</f>
        <v>0</v>
      </c>
      <c r="P58" s="369">
        <f>K58+O58</f>
        <v>0</v>
      </c>
      <c r="Q58" s="369">
        <f>J58+P58</f>
        <v>0</v>
      </c>
      <c r="R58" s="369">
        <f>Q58/2</f>
        <v>0</v>
      </c>
    </row>
    <row r="59" spans="1:18" ht="19.5">
      <c r="A59" s="352" t="s">
        <v>268</v>
      </c>
      <c r="B59" s="352"/>
      <c r="C59" s="352"/>
      <c r="D59" s="353"/>
      <c r="E59" s="378">
        <f>SUM(E60)</f>
        <v>839.77</v>
      </c>
      <c r="F59" s="378">
        <f aca="true" t="shared" si="19" ref="F59:R59">SUM(F60)</f>
        <v>0</v>
      </c>
      <c r="G59" s="378">
        <f t="shared" si="19"/>
        <v>0</v>
      </c>
      <c r="H59" s="378">
        <f t="shared" si="19"/>
        <v>0</v>
      </c>
      <c r="I59" s="378">
        <f t="shared" si="19"/>
        <v>0</v>
      </c>
      <c r="J59" s="378">
        <f t="shared" si="19"/>
        <v>839.77</v>
      </c>
      <c r="K59" s="378">
        <f t="shared" si="19"/>
        <v>0</v>
      </c>
      <c r="L59" s="378">
        <f t="shared" si="19"/>
        <v>0</v>
      </c>
      <c r="M59" s="378">
        <f t="shared" si="19"/>
        <v>0</v>
      </c>
      <c r="N59" s="378">
        <f t="shared" si="19"/>
        <v>0</v>
      </c>
      <c r="O59" s="378">
        <f t="shared" si="19"/>
        <v>0</v>
      </c>
      <c r="P59" s="378">
        <f t="shared" si="19"/>
        <v>0</v>
      </c>
      <c r="Q59" s="378">
        <f t="shared" si="19"/>
        <v>839.77</v>
      </c>
      <c r="R59" s="378">
        <f t="shared" si="19"/>
        <v>419.885</v>
      </c>
    </row>
    <row r="60" spans="1:18" ht="19.5">
      <c r="A60" s="355"/>
      <c r="B60" s="361" t="s">
        <v>255</v>
      </c>
      <c r="C60" s="361"/>
      <c r="D60" s="364"/>
      <c r="E60" s="358">
        <v>839.77</v>
      </c>
      <c r="F60" s="358"/>
      <c r="G60" s="358"/>
      <c r="H60" s="358"/>
      <c r="I60" s="359">
        <f>SUM(F60:H60)*1.5</f>
        <v>0</v>
      </c>
      <c r="J60" s="379">
        <f>E60+I60</f>
        <v>839.77</v>
      </c>
      <c r="K60" s="358"/>
      <c r="L60" s="358"/>
      <c r="M60" s="358"/>
      <c r="N60" s="358"/>
      <c r="O60" s="359">
        <f>SUM(L60:N60)*1.5</f>
        <v>0</v>
      </c>
      <c r="P60" s="379">
        <f>K60+O60</f>
        <v>0</v>
      </c>
      <c r="Q60" s="379">
        <f>J60+P60</f>
        <v>839.77</v>
      </c>
      <c r="R60" s="379">
        <f>Q60/2</f>
        <v>419.885</v>
      </c>
    </row>
    <row r="61" spans="1:18" ht="19.5">
      <c r="A61" s="352" t="s">
        <v>269</v>
      </c>
      <c r="B61" s="352"/>
      <c r="C61" s="352"/>
      <c r="D61" s="353"/>
      <c r="E61" s="378">
        <f>SUM(E62+E63+E66)</f>
        <v>625.29</v>
      </c>
      <c r="F61" s="378">
        <f aca="true" t="shared" si="20" ref="F61:R61">SUM(F62+F63+F66)</f>
        <v>0</v>
      </c>
      <c r="G61" s="378">
        <f t="shared" si="20"/>
        <v>0</v>
      </c>
      <c r="H61" s="378">
        <f t="shared" si="20"/>
        <v>0</v>
      </c>
      <c r="I61" s="378">
        <f t="shared" si="20"/>
        <v>0</v>
      </c>
      <c r="J61" s="378">
        <f t="shared" si="20"/>
        <v>625.29</v>
      </c>
      <c r="K61" s="378">
        <f t="shared" si="20"/>
        <v>0</v>
      </c>
      <c r="L61" s="378">
        <f t="shared" si="20"/>
        <v>0</v>
      </c>
      <c r="M61" s="378">
        <f t="shared" si="20"/>
        <v>0</v>
      </c>
      <c r="N61" s="378">
        <f t="shared" si="20"/>
        <v>0</v>
      </c>
      <c r="O61" s="378">
        <f t="shared" si="20"/>
        <v>0</v>
      </c>
      <c r="P61" s="378">
        <f t="shared" si="20"/>
        <v>0</v>
      </c>
      <c r="Q61" s="378">
        <f t="shared" si="20"/>
        <v>625.29</v>
      </c>
      <c r="R61" s="378">
        <f t="shared" si="20"/>
        <v>312.645</v>
      </c>
    </row>
    <row r="62" spans="1:18" ht="19.5">
      <c r="A62" s="355"/>
      <c r="B62" s="361" t="s">
        <v>256</v>
      </c>
      <c r="C62" s="361"/>
      <c r="D62" s="362"/>
      <c r="E62" s="380">
        <v>212.52</v>
      </c>
      <c r="F62" s="380"/>
      <c r="G62" s="380"/>
      <c r="H62" s="380"/>
      <c r="I62" s="381">
        <f>SUM(F62:H62)*1.5</f>
        <v>0</v>
      </c>
      <c r="J62" s="382">
        <f>E62+I62</f>
        <v>212.52</v>
      </c>
      <c r="K62" s="358"/>
      <c r="L62" s="358"/>
      <c r="M62" s="358"/>
      <c r="N62" s="358"/>
      <c r="O62" s="359">
        <f>SUM(L62:N62)*1.5</f>
        <v>0</v>
      </c>
      <c r="P62" s="379">
        <f>K62+O62</f>
        <v>0</v>
      </c>
      <c r="Q62" s="379">
        <f>J62+P62</f>
        <v>212.52</v>
      </c>
      <c r="R62" s="379">
        <f>Q62/2</f>
        <v>106.26</v>
      </c>
    </row>
    <row r="63" spans="1:18" ht="19.5">
      <c r="A63" s="355"/>
      <c r="B63" s="361" t="s">
        <v>257</v>
      </c>
      <c r="C63" s="361"/>
      <c r="D63" s="362"/>
      <c r="E63" s="383">
        <f>SUM(E64:E65)</f>
        <v>272.85</v>
      </c>
      <c r="F63" s="383">
        <f aca="true" t="shared" si="21" ref="F63:Q63">SUM(F64:F65)</f>
        <v>0</v>
      </c>
      <c r="G63" s="383">
        <f t="shared" si="21"/>
        <v>0</v>
      </c>
      <c r="H63" s="383">
        <f t="shared" si="21"/>
        <v>0</v>
      </c>
      <c r="I63" s="383">
        <f t="shared" si="21"/>
        <v>0</v>
      </c>
      <c r="J63" s="383">
        <f t="shared" si="21"/>
        <v>272.85</v>
      </c>
      <c r="K63" s="360">
        <f t="shared" si="21"/>
        <v>0</v>
      </c>
      <c r="L63" s="360">
        <f t="shared" si="21"/>
        <v>0</v>
      </c>
      <c r="M63" s="360">
        <f t="shared" si="21"/>
        <v>0</v>
      </c>
      <c r="N63" s="360">
        <f t="shared" si="21"/>
        <v>0</v>
      </c>
      <c r="O63" s="360">
        <f t="shared" si="21"/>
        <v>0</v>
      </c>
      <c r="P63" s="360">
        <f t="shared" si="21"/>
        <v>0</v>
      </c>
      <c r="Q63" s="360">
        <f t="shared" si="21"/>
        <v>272.85</v>
      </c>
      <c r="R63" s="360">
        <f>SUM(R64:R65)</f>
        <v>136.425</v>
      </c>
    </row>
    <row r="64" spans="1:18" ht="19.5">
      <c r="A64" s="355"/>
      <c r="B64" s="361"/>
      <c r="C64" s="361"/>
      <c r="D64" s="362" t="s">
        <v>258</v>
      </c>
      <c r="E64" s="310">
        <v>154.02</v>
      </c>
      <c r="F64" s="380"/>
      <c r="G64" s="380"/>
      <c r="H64" s="380"/>
      <c r="I64" s="381">
        <f aca="true" t="shared" si="22" ref="I64:I97">SUM(F64:H64)*1.5</f>
        <v>0</v>
      </c>
      <c r="J64" s="382">
        <f>E64+I64</f>
        <v>154.02</v>
      </c>
      <c r="K64" s="358"/>
      <c r="L64" s="358"/>
      <c r="M64" s="358"/>
      <c r="N64" s="358"/>
      <c r="O64" s="359">
        <f>SUM(L64:N64)*1.5</f>
        <v>0</v>
      </c>
      <c r="P64" s="379">
        <f>K64+O64</f>
        <v>0</v>
      </c>
      <c r="Q64" s="379">
        <f>J64+P64</f>
        <v>154.02</v>
      </c>
      <c r="R64" s="379">
        <f>Q64/2</f>
        <v>77.01</v>
      </c>
    </row>
    <row r="65" spans="1:18" ht="19.5">
      <c r="A65" s="355"/>
      <c r="B65" s="361"/>
      <c r="C65" s="361"/>
      <c r="D65" s="362" t="s">
        <v>259</v>
      </c>
      <c r="E65" s="310">
        <v>118.83</v>
      </c>
      <c r="F65" s="380"/>
      <c r="G65" s="380"/>
      <c r="H65" s="380"/>
      <c r="I65" s="381">
        <f t="shared" si="22"/>
        <v>0</v>
      </c>
      <c r="J65" s="382">
        <f>E65+I65</f>
        <v>118.83</v>
      </c>
      <c r="K65" s="358"/>
      <c r="L65" s="358"/>
      <c r="M65" s="358"/>
      <c r="N65" s="358"/>
      <c r="O65" s="359">
        <f>SUM(L65:N65)*1.5</f>
        <v>0</v>
      </c>
      <c r="P65" s="379">
        <f>K65+O65</f>
        <v>0</v>
      </c>
      <c r="Q65" s="379">
        <f>J65+P65</f>
        <v>118.83</v>
      </c>
      <c r="R65" s="379">
        <f>Q65/2</f>
        <v>59.415</v>
      </c>
    </row>
    <row r="66" spans="1:18" ht="19.5">
      <c r="A66" s="355"/>
      <c r="B66" s="361" t="s">
        <v>262</v>
      </c>
      <c r="C66" s="361"/>
      <c r="D66" s="362"/>
      <c r="E66" s="380">
        <v>139.92</v>
      </c>
      <c r="F66" s="380"/>
      <c r="G66" s="380"/>
      <c r="H66" s="380"/>
      <c r="I66" s="381">
        <f t="shared" si="22"/>
        <v>0</v>
      </c>
      <c r="J66" s="382">
        <f>E66+I66</f>
        <v>139.92</v>
      </c>
      <c r="K66" s="358"/>
      <c r="L66" s="358"/>
      <c r="M66" s="358"/>
      <c r="N66" s="358"/>
      <c r="O66" s="359">
        <f>SUM(L66:N66)*1.5</f>
        <v>0</v>
      </c>
      <c r="P66" s="379">
        <f>K66+O66</f>
        <v>0</v>
      </c>
      <c r="Q66" s="379">
        <f>J66+P66</f>
        <v>139.92</v>
      </c>
      <c r="R66" s="379">
        <f>Q66/2</f>
        <v>69.96</v>
      </c>
    </row>
    <row r="67" spans="1:18" ht="19.5">
      <c r="A67" s="352" t="s">
        <v>270</v>
      </c>
      <c r="B67" s="352"/>
      <c r="C67" s="352"/>
      <c r="D67" s="353"/>
      <c r="E67" s="378">
        <f>SUM(E68+E70+E75+E77+E79+E84+E89+E91)</f>
        <v>3123.4300000000003</v>
      </c>
      <c r="F67" s="378">
        <f aca="true" t="shared" si="23" ref="F67:R67">SUM(F68+F70+F75+F77+F79+F84+F89+F91)</f>
        <v>0</v>
      </c>
      <c r="G67" s="378">
        <f>SUM(G68+G70+G75+G77+G79+G84+G89+G91)</f>
        <v>12.15</v>
      </c>
      <c r="H67" s="378">
        <f t="shared" si="23"/>
        <v>2.5</v>
      </c>
      <c r="I67" s="378">
        <f>SUM(I68+I70+I75+I77+I79+I84+I89+I91)</f>
        <v>21.975</v>
      </c>
      <c r="J67" s="378">
        <f t="shared" si="23"/>
        <v>3145.405</v>
      </c>
      <c r="K67" s="378">
        <f t="shared" si="23"/>
        <v>0</v>
      </c>
      <c r="L67" s="378">
        <f t="shared" si="23"/>
        <v>0</v>
      </c>
      <c r="M67" s="378">
        <f t="shared" si="23"/>
        <v>0</v>
      </c>
      <c r="N67" s="378">
        <f t="shared" si="23"/>
        <v>0</v>
      </c>
      <c r="O67" s="378">
        <f t="shared" si="23"/>
        <v>0</v>
      </c>
      <c r="P67" s="378">
        <f t="shared" si="23"/>
        <v>0</v>
      </c>
      <c r="Q67" s="378">
        <f t="shared" si="23"/>
        <v>3145.405</v>
      </c>
      <c r="R67" s="378">
        <f t="shared" si="23"/>
        <v>1572.7025</v>
      </c>
    </row>
    <row r="68" spans="1:18" ht="19.5">
      <c r="A68" s="355"/>
      <c r="B68" s="361" t="s">
        <v>208</v>
      </c>
      <c r="C68" s="361"/>
      <c r="D68" s="362"/>
      <c r="E68" s="384"/>
      <c r="F68" s="379"/>
      <c r="G68" s="379"/>
      <c r="H68" s="53">
        <v>1.25</v>
      </c>
      <c r="I68" s="359">
        <f t="shared" si="22"/>
        <v>1.875</v>
      </c>
      <c r="J68" s="379">
        <f>E68+I68</f>
        <v>1.875</v>
      </c>
      <c r="K68" s="379"/>
      <c r="L68" s="379"/>
      <c r="M68" s="379"/>
      <c r="N68" s="379"/>
      <c r="O68" s="359">
        <f>SUM(L68:N68)*1.5</f>
        <v>0</v>
      </c>
      <c r="P68" s="379">
        <f>K68+O68</f>
        <v>0</v>
      </c>
      <c r="Q68" s="379">
        <f>J68+P68</f>
        <v>1.875</v>
      </c>
      <c r="R68" s="379">
        <f>Q68/2</f>
        <v>0.9375</v>
      </c>
    </row>
    <row r="69" spans="1:18" ht="19.5">
      <c r="A69" s="355"/>
      <c r="B69" s="361" t="s">
        <v>209</v>
      </c>
      <c r="C69" s="361"/>
      <c r="D69" s="362"/>
      <c r="E69" s="384"/>
      <c r="F69" s="379"/>
      <c r="G69" s="379"/>
      <c r="H69" s="385">
        <v>6.5</v>
      </c>
      <c r="I69" s="359">
        <f t="shared" si="22"/>
        <v>9.75</v>
      </c>
      <c r="J69" s="379">
        <f>E69+I69</f>
        <v>9.75</v>
      </c>
      <c r="K69" s="379"/>
      <c r="L69" s="379"/>
      <c r="M69" s="379"/>
      <c r="N69" s="379"/>
      <c r="O69" s="359">
        <f>SUM(L69:N69)*1.5</f>
        <v>0</v>
      </c>
      <c r="P69" s="379">
        <f>K69+O69</f>
        <v>0</v>
      </c>
      <c r="Q69" s="379">
        <f>J69+P69</f>
        <v>9.75</v>
      </c>
      <c r="R69" s="379">
        <f>Q69/2</f>
        <v>4.875</v>
      </c>
    </row>
    <row r="70" spans="1:18" ht="19.5">
      <c r="A70" s="355"/>
      <c r="B70" s="371" t="s">
        <v>187</v>
      </c>
      <c r="C70" s="371"/>
      <c r="D70" s="362"/>
      <c r="E70" s="384">
        <f>SUM(E71:E74)</f>
        <v>582.4300000000001</v>
      </c>
      <c r="F70" s="384">
        <f aca="true" t="shared" si="24" ref="F70:R70">SUM(F71:F74)</f>
        <v>0</v>
      </c>
      <c r="G70" s="384">
        <f t="shared" si="24"/>
        <v>0</v>
      </c>
      <c r="H70" s="384">
        <f t="shared" si="24"/>
        <v>0</v>
      </c>
      <c r="I70" s="384">
        <f t="shared" si="24"/>
        <v>0</v>
      </c>
      <c r="J70" s="384">
        <f t="shared" si="24"/>
        <v>582.4300000000001</v>
      </c>
      <c r="K70" s="384">
        <f t="shared" si="24"/>
        <v>0</v>
      </c>
      <c r="L70" s="384">
        <f t="shared" si="24"/>
        <v>0</v>
      </c>
      <c r="M70" s="384">
        <f t="shared" si="24"/>
        <v>0</v>
      </c>
      <c r="N70" s="384">
        <f t="shared" si="24"/>
        <v>0</v>
      </c>
      <c r="O70" s="384">
        <f t="shared" si="24"/>
        <v>0</v>
      </c>
      <c r="P70" s="384">
        <f t="shared" si="24"/>
        <v>0</v>
      </c>
      <c r="Q70" s="384">
        <f t="shared" si="24"/>
        <v>582.4300000000001</v>
      </c>
      <c r="R70" s="384">
        <f t="shared" si="24"/>
        <v>291.21500000000003</v>
      </c>
    </row>
    <row r="71" spans="1:18" ht="19.5">
      <c r="A71" s="355"/>
      <c r="B71" s="361"/>
      <c r="C71" s="361"/>
      <c r="D71" s="362" t="s">
        <v>210</v>
      </c>
      <c r="E71" s="19">
        <v>244.54</v>
      </c>
      <c r="F71" s="358"/>
      <c r="G71" s="358"/>
      <c r="H71" s="358"/>
      <c r="I71" s="359">
        <f t="shared" si="22"/>
        <v>0</v>
      </c>
      <c r="J71" s="379">
        <f>E71+I71</f>
        <v>244.54</v>
      </c>
      <c r="K71" s="358"/>
      <c r="L71" s="358"/>
      <c r="M71" s="358"/>
      <c r="N71" s="358"/>
      <c r="O71" s="359">
        <f>SUM(L71:N71)*1.5</f>
        <v>0</v>
      </c>
      <c r="P71" s="379">
        <f>K71+O71</f>
        <v>0</v>
      </c>
      <c r="Q71" s="379">
        <f>J71+P71</f>
        <v>244.54</v>
      </c>
      <c r="R71" s="379">
        <f>Q71/2</f>
        <v>122.27</v>
      </c>
    </row>
    <row r="72" spans="1:18" ht="19.5">
      <c r="A72" s="355"/>
      <c r="B72" s="361"/>
      <c r="C72" s="361"/>
      <c r="D72" s="362" t="s">
        <v>211</v>
      </c>
      <c r="E72" s="19">
        <v>119.58</v>
      </c>
      <c r="F72" s="358"/>
      <c r="G72" s="358"/>
      <c r="H72" s="358"/>
      <c r="I72" s="359">
        <f t="shared" si="22"/>
        <v>0</v>
      </c>
      <c r="J72" s="379">
        <f>E72+I72</f>
        <v>119.58</v>
      </c>
      <c r="K72" s="358"/>
      <c r="L72" s="358"/>
      <c r="M72" s="358"/>
      <c r="N72" s="358"/>
      <c r="O72" s="359">
        <f>SUM(L72:N72)*1.5</f>
        <v>0</v>
      </c>
      <c r="P72" s="379">
        <f>K72+O72</f>
        <v>0</v>
      </c>
      <c r="Q72" s="379">
        <f>J72+P72</f>
        <v>119.58</v>
      </c>
      <c r="R72" s="379">
        <f>Q72/2</f>
        <v>59.79</v>
      </c>
    </row>
    <row r="73" spans="1:18" ht="19.5">
      <c r="A73" s="355"/>
      <c r="B73" s="361"/>
      <c r="C73" s="361"/>
      <c r="D73" s="362" t="s">
        <v>212</v>
      </c>
      <c r="E73" s="19">
        <v>9</v>
      </c>
      <c r="F73" s="358"/>
      <c r="G73" s="358"/>
      <c r="H73" s="358"/>
      <c r="I73" s="359">
        <f t="shared" si="22"/>
        <v>0</v>
      </c>
      <c r="J73" s="379">
        <f>E73+I73</f>
        <v>9</v>
      </c>
      <c r="K73" s="358"/>
      <c r="L73" s="358"/>
      <c r="M73" s="358"/>
      <c r="N73" s="358"/>
      <c r="O73" s="359">
        <f>SUM(L73:N73)*1.5</f>
        <v>0</v>
      </c>
      <c r="P73" s="379">
        <f>K73+O73</f>
        <v>0</v>
      </c>
      <c r="Q73" s="379">
        <f>J73+P73</f>
        <v>9</v>
      </c>
      <c r="R73" s="379">
        <f>Q73/2</f>
        <v>4.5</v>
      </c>
    </row>
    <row r="74" spans="1:18" ht="19.5">
      <c r="A74" s="355"/>
      <c r="B74" s="361"/>
      <c r="C74" s="361"/>
      <c r="D74" s="362" t="s">
        <v>213</v>
      </c>
      <c r="E74" s="19">
        <v>209.31</v>
      </c>
      <c r="F74" s="358"/>
      <c r="G74" s="358"/>
      <c r="H74" s="358"/>
      <c r="I74" s="359">
        <f t="shared" si="22"/>
        <v>0</v>
      </c>
      <c r="J74" s="379">
        <f>E74+I74</f>
        <v>209.31</v>
      </c>
      <c r="K74" s="358"/>
      <c r="L74" s="358"/>
      <c r="M74" s="358"/>
      <c r="N74" s="358"/>
      <c r="O74" s="359">
        <f>SUM(L74:N74)*1.5</f>
        <v>0</v>
      </c>
      <c r="P74" s="379">
        <f>K74+O74</f>
        <v>0</v>
      </c>
      <c r="Q74" s="379">
        <f>J74+P74</f>
        <v>209.31</v>
      </c>
      <c r="R74" s="379">
        <f>Q74/2</f>
        <v>104.655</v>
      </c>
    </row>
    <row r="75" spans="1:18" ht="19.5">
      <c r="A75" s="355"/>
      <c r="B75" s="371" t="s">
        <v>275</v>
      </c>
      <c r="C75" s="371"/>
      <c r="D75" s="362"/>
      <c r="E75" s="360">
        <f>SUM(E76)</f>
        <v>364.11</v>
      </c>
      <c r="F75" s="360">
        <f aca="true" t="shared" si="25" ref="F75:R75">SUM(F76)</f>
        <v>0</v>
      </c>
      <c r="G75" s="360">
        <f t="shared" si="25"/>
        <v>0</v>
      </c>
      <c r="H75" s="360">
        <f t="shared" si="25"/>
        <v>0</v>
      </c>
      <c r="I75" s="360">
        <f t="shared" si="25"/>
        <v>0</v>
      </c>
      <c r="J75" s="360">
        <f t="shared" si="25"/>
        <v>364.11</v>
      </c>
      <c r="K75" s="360">
        <f t="shared" si="25"/>
        <v>0</v>
      </c>
      <c r="L75" s="360">
        <f t="shared" si="25"/>
        <v>0</v>
      </c>
      <c r="M75" s="360">
        <f t="shared" si="25"/>
        <v>0</v>
      </c>
      <c r="N75" s="360">
        <f t="shared" si="25"/>
        <v>0</v>
      </c>
      <c r="O75" s="360">
        <f t="shared" si="25"/>
        <v>0</v>
      </c>
      <c r="P75" s="360">
        <f t="shared" si="25"/>
        <v>0</v>
      </c>
      <c r="Q75" s="360">
        <f t="shared" si="25"/>
        <v>364.11</v>
      </c>
      <c r="R75" s="360">
        <f t="shared" si="25"/>
        <v>182.055</v>
      </c>
    </row>
    <row r="76" spans="1:18" ht="19.5">
      <c r="A76" s="355"/>
      <c r="B76" s="361"/>
      <c r="C76" s="361"/>
      <c r="D76" s="362" t="s">
        <v>214</v>
      </c>
      <c r="E76" s="19">
        <f>95+209.61+59.5</f>
        <v>364.11</v>
      </c>
      <c r="F76" s="358"/>
      <c r="G76" s="358"/>
      <c r="H76" s="358"/>
      <c r="I76" s="359">
        <f t="shared" si="22"/>
        <v>0</v>
      </c>
      <c r="J76" s="379">
        <f>E76+I76</f>
        <v>364.11</v>
      </c>
      <c r="K76" s="358"/>
      <c r="L76" s="358"/>
      <c r="M76" s="358"/>
      <c r="N76" s="358"/>
      <c r="O76" s="359">
        <f>SUM(L76:N76)*1.5</f>
        <v>0</v>
      </c>
      <c r="P76" s="379">
        <f>K76+O76</f>
        <v>0</v>
      </c>
      <c r="Q76" s="379">
        <f>J76+P76</f>
        <v>364.11</v>
      </c>
      <c r="R76" s="379">
        <f>Q76/2</f>
        <v>182.055</v>
      </c>
    </row>
    <row r="77" spans="1:18" ht="19.5">
      <c r="A77" s="355"/>
      <c r="B77" s="365" t="s">
        <v>185</v>
      </c>
      <c r="C77" s="365"/>
      <c r="D77" s="386"/>
      <c r="E77" s="360">
        <f>SUM(E78)</f>
        <v>192.78</v>
      </c>
      <c r="F77" s="360">
        <f aca="true" t="shared" si="26" ref="F77:R77">SUM(F78)</f>
        <v>0</v>
      </c>
      <c r="G77" s="360">
        <f t="shared" si="26"/>
        <v>0</v>
      </c>
      <c r="H77" s="360">
        <f t="shared" si="26"/>
        <v>0</v>
      </c>
      <c r="I77" s="360">
        <f t="shared" si="26"/>
        <v>0</v>
      </c>
      <c r="J77" s="360">
        <f t="shared" si="26"/>
        <v>192.78</v>
      </c>
      <c r="K77" s="360">
        <f t="shared" si="26"/>
        <v>0</v>
      </c>
      <c r="L77" s="360">
        <f t="shared" si="26"/>
        <v>0</v>
      </c>
      <c r="M77" s="360">
        <f t="shared" si="26"/>
        <v>0</v>
      </c>
      <c r="N77" s="360">
        <f t="shared" si="26"/>
        <v>0</v>
      </c>
      <c r="O77" s="360">
        <f t="shared" si="26"/>
        <v>0</v>
      </c>
      <c r="P77" s="360">
        <f t="shared" si="26"/>
        <v>0</v>
      </c>
      <c r="Q77" s="360">
        <f t="shared" si="26"/>
        <v>192.78</v>
      </c>
      <c r="R77" s="360">
        <f t="shared" si="26"/>
        <v>96.39</v>
      </c>
    </row>
    <row r="78" spans="1:18" ht="19.5">
      <c r="A78" s="355"/>
      <c r="B78" s="361"/>
      <c r="C78" s="361"/>
      <c r="D78" s="362" t="s">
        <v>215</v>
      </c>
      <c r="E78" s="19">
        <v>192.78</v>
      </c>
      <c r="F78" s="358"/>
      <c r="G78" s="358"/>
      <c r="H78" s="358"/>
      <c r="I78" s="359">
        <f t="shared" si="22"/>
        <v>0</v>
      </c>
      <c r="J78" s="358">
        <f>E78+I78</f>
        <v>192.78</v>
      </c>
      <c r="K78" s="358"/>
      <c r="L78" s="358"/>
      <c r="M78" s="358"/>
      <c r="N78" s="358"/>
      <c r="O78" s="359">
        <f>SUM(L78:N78)*1.5</f>
        <v>0</v>
      </c>
      <c r="P78" s="358">
        <f>K78+O78</f>
        <v>0</v>
      </c>
      <c r="Q78" s="358">
        <f>J78+P78</f>
        <v>192.78</v>
      </c>
      <c r="R78" s="358">
        <f>Q78/2</f>
        <v>96.39</v>
      </c>
    </row>
    <row r="79" spans="1:18" ht="19.5">
      <c r="A79" s="371"/>
      <c r="B79" s="371" t="s">
        <v>186</v>
      </c>
      <c r="C79" s="371"/>
      <c r="D79" s="386"/>
      <c r="E79" s="360">
        <f>SUM(E80+E82)</f>
        <v>559.71</v>
      </c>
      <c r="F79" s="360">
        <f aca="true" t="shared" si="27" ref="F79:R79">SUM(F80+F82)</f>
        <v>0</v>
      </c>
      <c r="G79" s="360">
        <f t="shared" si="27"/>
        <v>5.32</v>
      </c>
      <c r="H79" s="360">
        <f t="shared" si="27"/>
        <v>0</v>
      </c>
      <c r="I79" s="360">
        <f t="shared" si="27"/>
        <v>7.98</v>
      </c>
      <c r="J79" s="360">
        <f t="shared" si="27"/>
        <v>567.69</v>
      </c>
      <c r="K79" s="360">
        <f t="shared" si="27"/>
        <v>0</v>
      </c>
      <c r="L79" s="360">
        <f t="shared" si="27"/>
        <v>0</v>
      </c>
      <c r="M79" s="360">
        <f t="shared" si="27"/>
        <v>0</v>
      </c>
      <c r="N79" s="360">
        <f t="shared" si="27"/>
        <v>0</v>
      </c>
      <c r="O79" s="360">
        <f t="shared" si="27"/>
        <v>0</v>
      </c>
      <c r="P79" s="360">
        <f t="shared" si="27"/>
        <v>0</v>
      </c>
      <c r="Q79" s="360">
        <f t="shared" si="27"/>
        <v>567.69</v>
      </c>
      <c r="R79" s="360">
        <f t="shared" si="27"/>
        <v>283.845</v>
      </c>
    </row>
    <row r="80" spans="1:18" ht="19.5">
      <c r="A80" s="355"/>
      <c r="B80" s="361"/>
      <c r="C80" s="361"/>
      <c r="D80" s="362" t="s">
        <v>194</v>
      </c>
      <c r="E80" s="387">
        <v>559.71</v>
      </c>
      <c r="F80" s="387">
        <v>0</v>
      </c>
      <c r="G80" s="387">
        <v>2.83</v>
      </c>
      <c r="H80" s="358"/>
      <c r="I80" s="359">
        <f t="shared" si="22"/>
        <v>4.245</v>
      </c>
      <c r="J80" s="358">
        <f>E80+I80</f>
        <v>563.955</v>
      </c>
      <c r="K80" s="358"/>
      <c r="L80" s="358"/>
      <c r="M80" s="358"/>
      <c r="N80" s="358"/>
      <c r="O80" s="359">
        <f>SUM(L80:N80)*1.5</f>
        <v>0</v>
      </c>
      <c r="P80" s="358">
        <f>K80+O80</f>
        <v>0</v>
      </c>
      <c r="Q80" s="358">
        <f>J80+P80</f>
        <v>563.955</v>
      </c>
      <c r="R80" s="358">
        <f>Q80/2</f>
        <v>281.9775</v>
      </c>
    </row>
    <row r="81" spans="1:18" ht="19.5">
      <c r="A81" s="355"/>
      <c r="B81" s="361"/>
      <c r="C81" s="361"/>
      <c r="D81" s="362" t="s">
        <v>195</v>
      </c>
      <c r="E81" s="387">
        <v>0</v>
      </c>
      <c r="F81" s="387">
        <v>0</v>
      </c>
      <c r="G81" s="387">
        <v>2</v>
      </c>
      <c r="H81" s="358"/>
      <c r="I81" s="359">
        <f t="shared" si="22"/>
        <v>3</v>
      </c>
      <c r="J81" s="358">
        <f>E81+I81</f>
        <v>3</v>
      </c>
      <c r="K81" s="358"/>
      <c r="L81" s="358"/>
      <c r="M81" s="358"/>
      <c r="N81" s="358"/>
      <c r="O81" s="359">
        <f>SUM(L81:N81)*1.5</f>
        <v>0</v>
      </c>
      <c r="P81" s="358">
        <f>K81+O81</f>
        <v>0</v>
      </c>
      <c r="Q81" s="358">
        <f>J81+P81</f>
        <v>3</v>
      </c>
      <c r="R81" s="358">
        <f>Q81/2</f>
        <v>1.5</v>
      </c>
    </row>
    <row r="82" spans="1:18" ht="19.5">
      <c r="A82" s="355"/>
      <c r="B82" s="361"/>
      <c r="C82" s="361"/>
      <c r="D82" s="362" t="s">
        <v>196</v>
      </c>
      <c r="E82" s="387">
        <v>0</v>
      </c>
      <c r="F82" s="387">
        <v>0</v>
      </c>
      <c r="G82" s="387">
        <v>2.49</v>
      </c>
      <c r="H82" s="358"/>
      <c r="I82" s="359">
        <f t="shared" si="22"/>
        <v>3.7350000000000003</v>
      </c>
      <c r="J82" s="358">
        <f>E82+I82</f>
        <v>3.7350000000000003</v>
      </c>
      <c r="K82" s="358"/>
      <c r="L82" s="358"/>
      <c r="M82" s="358"/>
      <c r="N82" s="358"/>
      <c r="O82" s="359">
        <f>SUM(L82:N82)*1.5</f>
        <v>0</v>
      </c>
      <c r="P82" s="358">
        <f>K82+O82</f>
        <v>0</v>
      </c>
      <c r="Q82" s="358">
        <f>J82+P82</f>
        <v>3.7350000000000003</v>
      </c>
      <c r="R82" s="358">
        <f>Q82/2</f>
        <v>1.8675000000000002</v>
      </c>
    </row>
    <row r="83" spans="1:18" ht="19.5">
      <c r="A83" s="355"/>
      <c r="B83" s="361"/>
      <c r="C83" s="361"/>
      <c r="D83" s="362" t="s">
        <v>197</v>
      </c>
      <c r="E83" s="387">
        <v>0</v>
      </c>
      <c r="F83" s="387">
        <v>0</v>
      </c>
      <c r="G83" s="387">
        <v>1</v>
      </c>
      <c r="H83" s="358"/>
      <c r="I83" s="359">
        <f t="shared" si="22"/>
        <v>1.5</v>
      </c>
      <c r="J83" s="358">
        <f>E83+I83</f>
        <v>1.5</v>
      </c>
      <c r="K83" s="358"/>
      <c r="L83" s="358"/>
      <c r="M83" s="358"/>
      <c r="N83" s="358"/>
      <c r="O83" s="359">
        <f>SUM(L83:N83)*1.5</f>
        <v>0</v>
      </c>
      <c r="P83" s="358">
        <f>K83+O83</f>
        <v>0</v>
      </c>
      <c r="Q83" s="358">
        <f>J83+P83</f>
        <v>1.5</v>
      </c>
      <c r="R83" s="358">
        <f>Q83/2</f>
        <v>0.75</v>
      </c>
    </row>
    <row r="84" spans="1:18" ht="19.5">
      <c r="A84" s="355"/>
      <c r="B84" s="371" t="s">
        <v>188</v>
      </c>
      <c r="C84" s="371"/>
      <c r="D84" s="386"/>
      <c r="E84" s="360">
        <f>SUM(E85:E88)</f>
        <v>291.26</v>
      </c>
      <c r="F84" s="360">
        <f aca="true" t="shared" si="28" ref="F84:R84">SUM(F85:F88)</f>
        <v>0</v>
      </c>
      <c r="G84" s="360">
        <f t="shared" si="28"/>
        <v>0</v>
      </c>
      <c r="H84" s="360">
        <f t="shared" si="28"/>
        <v>0</v>
      </c>
      <c r="I84" s="360">
        <f t="shared" si="28"/>
        <v>0</v>
      </c>
      <c r="J84" s="360">
        <f t="shared" si="28"/>
        <v>291.26</v>
      </c>
      <c r="K84" s="360">
        <f t="shared" si="28"/>
        <v>0</v>
      </c>
      <c r="L84" s="360">
        <f t="shared" si="28"/>
        <v>0</v>
      </c>
      <c r="M84" s="360">
        <f t="shared" si="28"/>
        <v>0</v>
      </c>
      <c r="N84" s="360">
        <f t="shared" si="28"/>
        <v>0</v>
      </c>
      <c r="O84" s="360">
        <f t="shared" si="28"/>
        <v>0</v>
      </c>
      <c r="P84" s="360">
        <f t="shared" si="28"/>
        <v>0</v>
      </c>
      <c r="Q84" s="360">
        <f t="shared" si="28"/>
        <v>291.26</v>
      </c>
      <c r="R84" s="360">
        <f t="shared" si="28"/>
        <v>145.63</v>
      </c>
    </row>
    <row r="85" spans="1:18" ht="19.5">
      <c r="A85" s="355"/>
      <c r="B85" s="361"/>
      <c r="C85" s="361"/>
      <c r="D85" s="362" t="s">
        <v>189</v>
      </c>
      <c r="E85" s="19">
        <v>59.94</v>
      </c>
      <c r="F85" s="358"/>
      <c r="G85" s="358"/>
      <c r="H85" s="358"/>
      <c r="I85" s="359">
        <f t="shared" si="22"/>
        <v>0</v>
      </c>
      <c r="J85" s="358">
        <f>E85+I85</f>
        <v>59.94</v>
      </c>
      <c r="K85" s="358"/>
      <c r="L85" s="358"/>
      <c r="M85" s="358"/>
      <c r="N85" s="358"/>
      <c r="O85" s="359">
        <f>SUM(L85:N85)*1.5</f>
        <v>0</v>
      </c>
      <c r="P85" s="358">
        <f>K85+O85</f>
        <v>0</v>
      </c>
      <c r="Q85" s="358">
        <f>J85+P85</f>
        <v>59.94</v>
      </c>
      <c r="R85" s="358">
        <f>Q85/2</f>
        <v>29.97</v>
      </c>
    </row>
    <row r="86" spans="1:18" ht="19.5">
      <c r="A86" s="355"/>
      <c r="B86" s="361"/>
      <c r="C86" s="361"/>
      <c r="D86" s="362" t="s">
        <v>190</v>
      </c>
      <c r="E86" s="19">
        <v>108.15</v>
      </c>
      <c r="F86" s="358"/>
      <c r="G86" s="358"/>
      <c r="H86" s="358"/>
      <c r="I86" s="359">
        <f t="shared" si="22"/>
        <v>0</v>
      </c>
      <c r="J86" s="358">
        <f>E86+I86</f>
        <v>108.15</v>
      </c>
      <c r="K86" s="358"/>
      <c r="L86" s="358"/>
      <c r="M86" s="358"/>
      <c r="N86" s="358"/>
      <c r="O86" s="359">
        <f>SUM(L86:N86)*1.5</f>
        <v>0</v>
      </c>
      <c r="P86" s="358">
        <f>K86+O86</f>
        <v>0</v>
      </c>
      <c r="Q86" s="358">
        <f>J86+P86</f>
        <v>108.15</v>
      </c>
      <c r="R86" s="358">
        <f>Q86/2</f>
        <v>54.075</v>
      </c>
    </row>
    <row r="87" spans="1:18" ht="19.5">
      <c r="A87" s="355"/>
      <c r="B87" s="361"/>
      <c r="C87" s="361"/>
      <c r="D87" s="362" t="s">
        <v>191</v>
      </c>
      <c r="E87" s="19">
        <v>30</v>
      </c>
      <c r="F87" s="358"/>
      <c r="G87" s="358"/>
      <c r="H87" s="358"/>
      <c r="I87" s="359">
        <f t="shared" si="22"/>
        <v>0</v>
      </c>
      <c r="J87" s="358">
        <f>E87+I87</f>
        <v>30</v>
      </c>
      <c r="K87" s="358"/>
      <c r="L87" s="358"/>
      <c r="M87" s="358"/>
      <c r="N87" s="358"/>
      <c r="O87" s="359">
        <f>SUM(L87:N87)*1.5</f>
        <v>0</v>
      </c>
      <c r="P87" s="358">
        <f>K87+O87</f>
        <v>0</v>
      </c>
      <c r="Q87" s="358">
        <f>J87+P87</f>
        <v>30</v>
      </c>
      <c r="R87" s="358">
        <f>Q87/2</f>
        <v>15</v>
      </c>
    </row>
    <row r="88" spans="1:18" ht="19.5">
      <c r="A88" s="355"/>
      <c r="B88" s="361"/>
      <c r="C88" s="361"/>
      <c r="D88" s="362" t="s">
        <v>192</v>
      </c>
      <c r="E88" s="19">
        <v>93.17</v>
      </c>
      <c r="F88" s="358"/>
      <c r="G88" s="358"/>
      <c r="H88" s="358"/>
      <c r="I88" s="359">
        <f t="shared" si="22"/>
        <v>0</v>
      </c>
      <c r="J88" s="358">
        <f>E88+I88</f>
        <v>93.17</v>
      </c>
      <c r="K88" s="358"/>
      <c r="L88" s="358"/>
      <c r="M88" s="358"/>
      <c r="N88" s="358"/>
      <c r="O88" s="359">
        <f>SUM(L88:N88)*1.5</f>
        <v>0</v>
      </c>
      <c r="P88" s="358">
        <f>K88+O88</f>
        <v>0</v>
      </c>
      <c r="Q88" s="358">
        <f>J88+P88</f>
        <v>93.17</v>
      </c>
      <c r="R88" s="358">
        <f>Q88/2</f>
        <v>46.585</v>
      </c>
    </row>
    <row r="89" spans="1:18" ht="19.5">
      <c r="A89" s="355"/>
      <c r="B89" s="371" t="s">
        <v>200</v>
      </c>
      <c r="C89" s="371"/>
      <c r="D89" s="386"/>
      <c r="E89" s="360">
        <f>SUM(E90)</f>
        <v>976.66</v>
      </c>
      <c r="F89" s="360">
        <f aca="true" t="shared" si="29" ref="F89:R89">SUM(F90)</f>
        <v>0</v>
      </c>
      <c r="G89" s="360">
        <f t="shared" si="29"/>
        <v>6.83</v>
      </c>
      <c r="H89" s="360">
        <f t="shared" si="29"/>
        <v>1.25</v>
      </c>
      <c r="I89" s="360">
        <f t="shared" si="29"/>
        <v>12.120000000000001</v>
      </c>
      <c r="J89" s="360">
        <f t="shared" si="29"/>
        <v>988.78</v>
      </c>
      <c r="K89" s="360">
        <f t="shared" si="29"/>
        <v>0</v>
      </c>
      <c r="L89" s="360">
        <f t="shared" si="29"/>
        <v>0</v>
      </c>
      <c r="M89" s="360">
        <f t="shared" si="29"/>
        <v>0</v>
      </c>
      <c r="N89" s="360">
        <f t="shared" si="29"/>
        <v>0</v>
      </c>
      <c r="O89" s="360">
        <f t="shared" si="29"/>
        <v>0</v>
      </c>
      <c r="P89" s="360">
        <f t="shared" si="29"/>
        <v>0</v>
      </c>
      <c r="Q89" s="360">
        <f t="shared" si="29"/>
        <v>988.78</v>
      </c>
      <c r="R89" s="360">
        <f t="shared" si="29"/>
        <v>494.39</v>
      </c>
    </row>
    <row r="90" spans="1:18" ht="19.5">
      <c r="A90" s="355"/>
      <c r="B90" s="361"/>
      <c r="C90" s="361"/>
      <c r="D90" s="362" t="s">
        <v>193</v>
      </c>
      <c r="E90" s="19">
        <v>976.66</v>
      </c>
      <c r="F90" s="358"/>
      <c r="G90" s="19">
        <v>6.83</v>
      </c>
      <c r="H90" s="19">
        <v>1.25</v>
      </c>
      <c r="I90" s="359">
        <f t="shared" si="22"/>
        <v>12.120000000000001</v>
      </c>
      <c r="J90" s="358">
        <f>E90+I90</f>
        <v>988.78</v>
      </c>
      <c r="K90" s="358"/>
      <c r="L90" s="358"/>
      <c r="M90" s="358"/>
      <c r="N90" s="358"/>
      <c r="O90" s="359">
        <f>SUM(L90:N90)*1.5</f>
        <v>0</v>
      </c>
      <c r="P90" s="358">
        <f>K90+O90</f>
        <v>0</v>
      </c>
      <c r="Q90" s="358">
        <f>J90+P90</f>
        <v>988.78</v>
      </c>
      <c r="R90" s="358">
        <f>Q90/2</f>
        <v>494.39</v>
      </c>
    </row>
    <row r="91" spans="1:18" ht="19.5">
      <c r="A91" s="355"/>
      <c r="B91" s="371" t="s">
        <v>199</v>
      </c>
      <c r="C91" s="371"/>
      <c r="D91" s="386"/>
      <c r="E91" s="360">
        <f>SUM(E92)</f>
        <v>156.48</v>
      </c>
      <c r="F91" s="360">
        <f aca="true" t="shared" si="30" ref="F91:R91">SUM(F92)</f>
        <v>0</v>
      </c>
      <c r="G91" s="360">
        <f t="shared" si="30"/>
        <v>0</v>
      </c>
      <c r="H91" s="360">
        <f t="shared" si="30"/>
        <v>0</v>
      </c>
      <c r="I91" s="360">
        <f t="shared" si="30"/>
        <v>0</v>
      </c>
      <c r="J91" s="360">
        <f t="shared" si="30"/>
        <v>156.48</v>
      </c>
      <c r="K91" s="360">
        <f t="shared" si="30"/>
        <v>0</v>
      </c>
      <c r="L91" s="360">
        <f t="shared" si="30"/>
        <v>0</v>
      </c>
      <c r="M91" s="360">
        <f t="shared" si="30"/>
        <v>0</v>
      </c>
      <c r="N91" s="360">
        <f t="shared" si="30"/>
        <v>0</v>
      </c>
      <c r="O91" s="360">
        <f t="shared" si="30"/>
        <v>0</v>
      </c>
      <c r="P91" s="360">
        <f t="shared" si="30"/>
        <v>0</v>
      </c>
      <c r="Q91" s="360">
        <f t="shared" si="30"/>
        <v>156.48</v>
      </c>
      <c r="R91" s="360">
        <f t="shared" si="30"/>
        <v>78.24</v>
      </c>
    </row>
    <row r="92" spans="1:18" ht="19.5">
      <c r="A92" s="355"/>
      <c r="B92" s="361"/>
      <c r="C92" s="361"/>
      <c r="D92" s="362" t="s">
        <v>198</v>
      </c>
      <c r="E92" s="73">
        <v>156.48</v>
      </c>
      <c r="F92" s="358"/>
      <c r="G92" s="358"/>
      <c r="H92" s="358"/>
      <c r="I92" s="359">
        <f t="shared" si="22"/>
        <v>0</v>
      </c>
      <c r="J92" s="358">
        <f>E92+I92</f>
        <v>156.48</v>
      </c>
      <c r="K92" s="358"/>
      <c r="L92" s="358"/>
      <c r="M92" s="358"/>
      <c r="N92" s="358"/>
      <c r="O92" s="359">
        <f>SUM(L92:N92)*1.5</f>
        <v>0</v>
      </c>
      <c r="P92" s="358">
        <f>K92+O92</f>
        <v>0</v>
      </c>
      <c r="Q92" s="358">
        <f>J92+P92</f>
        <v>156.48</v>
      </c>
      <c r="R92" s="358">
        <f>Q92/2</f>
        <v>78.24</v>
      </c>
    </row>
    <row r="93" spans="1:18" ht="19.5">
      <c r="A93" s="352" t="s">
        <v>271</v>
      </c>
      <c r="B93" s="352"/>
      <c r="C93" s="352"/>
      <c r="D93" s="353"/>
      <c r="E93" s="388">
        <f>SUM(E94+E96)</f>
        <v>0</v>
      </c>
      <c r="F93" s="388">
        <f aca="true" t="shared" si="31" ref="F93:R93">SUM(F94+F96)</f>
        <v>0</v>
      </c>
      <c r="G93" s="388">
        <f t="shared" si="31"/>
        <v>8.83</v>
      </c>
      <c r="H93" s="388">
        <f t="shared" si="31"/>
        <v>0</v>
      </c>
      <c r="I93" s="388">
        <f t="shared" si="31"/>
        <v>13.245000000000001</v>
      </c>
      <c r="J93" s="388">
        <f t="shared" si="31"/>
        <v>13.245000000000001</v>
      </c>
      <c r="K93" s="388">
        <f t="shared" si="31"/>
        <v>0</v>
      </c>
      <c r="L93" s="388">
        <f t="shared" si="31"/>
        <v>0</v>
      </c>
      <c r="M93" s="388">
        <f t="shared" si="31"/>
        <v>0</v>
      </c>
      <c r="N93" s="388">
        <f t="shared" si="31"/>
        <v>0</v>
      </c>
      <c r="O93" s="388">
        <f t="shared" si="31"/>
        <v>0</v>
      </c>
      <c r="P93" s="388">
        <f t="shared" si="31"/>
        <v>0</v>
      </c>
      <c r="Q93" s="388">
        <f t="shared" si="31"/>
        <v>13.245000000000001</v>
      </c>
      <c r="R93" s="388">
        <f t="shared" si="31"/>
        <v>6.6225000000000005</v>
      </c>
    </row>
    <row r="94" spans="1:18" ht="19.5">
      <c r="A94" s="355"/>
      <c r="B94" s="361" t="s">
        <v>264</v>
      </c>
      <c r="C94" s="361"/>
      <c r="D94" s="362"/>
      <c r="E94" s="360"/>
      <c r="F94" s="358"/>
      <c r="G94" s="389">
        <v>6.83</v>
      </c>
      <c r="H94" s="358"/>
      <c r="I94" s="359">
        <f t="shared" si="22"/>
        <v>10.245000000000001</v>
      </c>
      <c r="J94" s="358">
        <f>E94+I94</f>
        <v>10.245000000000001</v>
      </c>
      <c r="K94" s="358"/>
      <c r="L94" s="358"/>
      <c r="M94" s="358"/>
      <c r="N94" s="358"/>
      <c r="O94" s="359">
        <f>SUM(L94:N94)*1.5</f>
        <v>0</v>
      </c>
      <c r="P94" s="358">
        <f>K94+O94</f>
        <v>0</v>
      </c>
      <c r="Q94" s="358">
        <f>J94+P94</f>
        <v>10.245000000000001</v>
      </c>
      <c r="R94" s="358">
        <f>Q94/2</f>
        <v>5.1225000000000005</v>
      </c>
    </row>
    <row r="95" spans="1:18" ht="19.5">
      <c r="A95" s="355"/>
      <c r="B95" s="361" t="s">
        <v>197</v>
      </c>
      <c r="C95" s="361"/>
      <c r="D95" s="362"/>
      <c r="E95" s="360"/>
      <c r="F95" s="358"/>
      <c r="G95" s="389">
        <v>4</v>
      </c>
      <c r="H95" s="358"/>
      <c r="I95" s="359">
        <f t="shared" si="22"/>
        <v>6</v>
      </c>
      <c r="J95" s="358">
        <f>E95+I95</f>
        <v>6</v>
      </c>
      <c r="K95" s="358"/>
      <c r="L95" s="358"/>
      <c r="M95" s="358"/>
      <c r="N95" s="358"/>
      <c r="O95" s="359">
        <f>SUM(L95:N95)*1.5</f>
        <v>0</v>
      </c>
      <c r="P95" s="358">
        <f>K95+O95</f>
        <v>0</v>
      </c>
      <c r="Q95" s="358">
        <f>J95+P95</f>
        <v>6</v>
      </c>
      <c r="R95" s="358">
        <f>Q95/2</f>
        <v>3</v>
      </c>
    </row>
    <row r="96" spans="1:18" ht="19.5">
      <c r="A96" s="355"/>
      <c r="B96" s="361" t="s">
        <v>265</v>
      </c>
      <c r="C96" s="361"/>
      <c r="D96" s="362"/>
      <c r="E96" s="360"/>
      <c r="F96" s="358"/>
      <c r="G96" s="389">
        <v>2</v>
      </c>
      <c r="H96" s="358"/>
      <c r="I96" s="359">
        <f t="shared" si="22"/>
        <v>3</v>
      </c>
      <c r="J96" s="358">
        <f>E96+I96</f>
        <v>3</v>
      </c>
      <c r="K96" s="358"/>
      <c r="L96" s="358"/>
      <c r="M96" s="358"/>
      <c r="N96" s="358"/>
      <c r="O96" s="359">
        <f>SUM(L96:N96)*1.5</f>
        <v>0</v>
      </c>
      <c r="P96" s="358">
        <f>K96+O96</f>
        <v>0</v>
      </c>
      <c r="Q96" s="358">
        <f>J96+P96</f>
        <v>3</v>
      </c>
      <c r="R96" s="358">
        <f>Q96/2</f>
        <v>1.5</v>
      </c>
    </row>
    <row r="97" spans="1:18" ht="19.5">
      <c r="A97" s="355"/>
      <c r="B97" s="361" t="s">
        <v>197</v>
      </c>
      <c r="C97" s="361"/>
      <c r="D97" s="362"/>
      <c r="E97" s="360"/>
      <c r="F97" s="358"/>
      <c r="G97" s="358"/>
      <c r="H97" s="358"/>
      <c r="I97" s="359">
        <f t="shared" si="22"/>
        <v>0</v>
      </c>
      <c r="J97" s="358">
        <f>E97+I97</f>
        <v>0</v>
      </c>
      <c r="K97" s="358"/>
      <c r="L97" s="358"/>
      <c r="M97" s="358"/>
      <c r="N97" s="358"/>
      <c r="O97" s="359">
        <f>SUM(L97:N97)*1.5</f>
        <v>0</v>
      </c>
      <c r="P97" s="358">
        <f>K97+O97</f>
        <v>0</v>
      </c>
      <c r="Q97" s="358">
        <f>J97+P97</f>
        <v>0</v>
      </c>
      <c r="R97" s="358">
        <f>Q97/2</f>
        <v>0</v>
      </c>
    </row>
    <row r="98" spans="1:18" ht="19.5">
      <c r="A98" s="352" t="s">
        <v>272</v>
      </c>
      <c r="B98" s="352"/>
      <c r="C98" s="352"/>
      <c r="D98" s="353"/>
      <c r="E98" s="354">
        <f>SUM(E99+E103+E106+E110+E116+E119)</f>
        <v>2247.17</v>
      </c>
      <c r="F98" s="354">
        <f aca="true" t="shared" si="32" ref="F98:R98">SUM(F99+F103+F106+F110+F116+F119)</f>
        <v>0</v>
      </c>
      <c r="G98" s="354">
        <f t="shared" si="32"/>
        <v>18.33</v>
      </c>
      <c r="H98" s="354">
        <f t="shared" si="32"/>
        <v>0</v>
      </c>
      <c r="I98" s="354">
        <f t="shared" si="32"/>
        <v>45.825</v>
      </c>
      <c r="J98" s="354">
        <f t="shared" si="32"/>
        <v>2292.995</v>
      </c>
      <c r="K98" s="354">
        <f t="shared" si="32"/>
        <v>0</v>
      </c>
      <c r="L98" s="354">
        <f t="shared" si="32"/>
        <v>0</v>
      </c>
      <c r="M98" s="354">
        <f t="shared" si="32"/>
        <v>0</v>
      </c>
      <c r="N98" s="354">
        <f t="shared" si="32"/>
        <v>0</v>
      </c>
      <c r="O98" s="354">
        <f t="shared" si="32"/>
        <v>0</v>
      </c>
      <c r="P98" s="354">
        <f t="shared" si="32"/>
        <v>0</v>
      </c>
      <c r="Q98" s="354">
        <f t="shared" si="32"/>
        <v>2292.995</v>
      </c>
      <c r="R98" s="354">
        <f t="shared" si="32"/>
        <v>1146.4975</v>
      </c>
    </row>
    <row r="99" spans="1:18" ht="19.5">
      <c r="A99" s="355"/>
      <c r="B99" s="371" t="s">
        <v>263</v>
      </c>
      <c r="C99" s="361"/>
      <c r="D99" s="362"/>
      <c r="E99" s="367">
        <f>SUM(E100:E101)</f>
        <v>538.17</v>
      </c>
      <c r="F99" s="367">
        <f aca="true" t="shared" si="33" ref="F99:R99">SUM(F100:F101)</f>
        <v>0</v>
      </c>
      <c r="G99" s="367">
        <f t="shared" si="33"/>
        <v>1</v>
      </c>
      <c r="H99" s="367">
        <f t="shared" si="33"/>
        <v>0</v>
      </c>
      <c r="I99" s="367">
        <f t="shared" si="33"/>
        <v>2.5</v>
      </c>
      <c r="J99" s="367">
        <f t="shared" si="33"/>
        <v>540.67</v>
      </c>
      <c r="K99" s="367">
        <f t="shared" si="33"/>
        <v>0</v>
      </c>
      <c r="L99" s="367">
        <f t="shared" si="33"/>
        <v>0</v>
      </c>
      <c r="M99" s="367">
        <f t="shared" si="33"/>
        <v>0</v>
      </c>
      <c r="N99" s="367">
        <f t="shared" si="33"/>
        <v>0</v>
      </c>
      <c r="O99" s="367">
        <f t="shared" si="33"/>
        <v>0</v>
      </c>
      <c r="P99" s="367">
        <f t="shared" si="33"/>
        <v>0</v>
      </c>
      <c r="Q99" s="367">
        <f t="shared" si="33"/>
        <v>540.67</v>
      </c>
      <c r="R99" s="367">
        <f t="shared" si="33"/>
        <v>270.335</v>
      </c>
    </row>
    <row r="100" spans="1:18" ht="19.5">
      <c r="A100" s="355"/>
      <c r="B100" s="361"/>
      <c r="C100" s="361"/>
      <c r="D100" s="362" t="s">
        <v>216</v>
      </c>
      <c r="E100" s="19">
        <v>447.51</v>
      </c>
      <c r="F100" s="19">
        <v>0</v>
      </c>
      <c r="G100" s="19">
        <v>1</v>
      </c>
      <c r="H100" s="358"/>
      <c r="I100" s="359">
        <f>SUM(F100:H100)*2.5</f>
        <v>2.5</v>
      </c>
      <c r="J100" s="359">
        <f>E100+I100</f>
        <v>450.01</v>
      </c>
      <c r="K100" s="358"/>
      <c r="L100" s="358"/>
      <c r="M100" s="358"/>
      <c r="N100" s="358"/>
      <c r="O100" s="359">
        <f>SUM(L100:N100)*2.5</f>
        <v>0</v>
      </c>
      <c r="P100" s="359">
        <f>K100+O100</f>
        <v>0</v>
      </c>
      <c r="Q100" s="359">
        <f>J100+P100</f>
        <v>450.01</v>
      </c>
      <c r="R100" s="359">
        <f>Q100/2</f>
        <v>225.005</v>
      </c>
    </row>
    <row r="101" spans="1:18" ht="19.5">
      <c r="A101" s="355"/>
      <c r="B101" s="361"/>
      <c r="C101" s="361"/>
      <c r="D101" s="362" t="s">
        <v>217</v>
      </c>
      <c r="E101" s="19">
        <v>90.66</v>
      </c>
      <c r="F101" s="358"/>
      <c r="G101" s="358"/>
      <c r="H101" s="358"/>
      <c r="I101" s="359">
        <f>SUM(F101:H101)*2.5</f>
        <v>0</v>
      </c>
      <c r="J101" s="359">
        <f>E101+I101</f>
        <v>90.66</v>
      </c>
      <c r="K101" s="358"/>
      <c r="L101" s="358"/>
      <c r="M101" s="358"/>
      <c r="N101" s="358"/>
      <c r="O101" s="359">
        <f>SUM(L101:N101)*2.5</f>
        <v>0</v>
      </c>
      <c r="P101" s="359">
        <f>K101+O101</f>
        <v>0</v>
      </c>
      <c r="Q101" s="359">
        <f>J101+P101</f>
        <v>90.66</v>
      </c>
      <c r="R101" s="359">
        <f>Q101/2</f>
        <v>45.33</v>
      </c>
    </row>
    <row r="102" spans="1:18" ht="19.5">
      <c r="A102" s="355"/>
      <c r="B102" s="361"/>
      <c r="C102" s="361"/>
      <c r="D102" s="362" t="s">
        <v>197</v>
      </c>
      <c r="E102" s="360"/>
      <c r="F102" s="358"/>
      <c r="G102" s="387">
        <v>1</v>
      </c>
      <c r="H102" s="358"/>
      <c r="I102" s="359">
        <f>SUM(F102:H102)*2.5</f>
        <v>2.5</v>
      </c>
      <c r="J102" s="359">
        <f>E102+I102</f>
        <v>2.5</v>
      </c>
      <c r="K102" s="358"/>
      <c r="L102" s="358"/>
      <c r="M102" s="358"/>
      <c r="N102" s="358"/>
      <c r="O102" s="359">
        <f>SUM(L102:N102)*2.5</f>
        <v>0</v>
      </c>
      <c r="P102" s="359">
        <f>K102+O102</f>
        <v>0</v>
      </c>
      <c r="Q102" s="359">
        <f>J102+P102</f>
        <v>2.5</v>
      </c>
      <c r="R102" s="359">
        <f>Q102/2</f>
        <v>1.25</v>
      </c>
    </row>
    <row r="103" spans="1:18" ht="19.5">
      <c r="A103" s="355"/>
      <c r="B103" s="371" t="s">
        <v>219</v>
      </c>
      <c r="C103" s="361"/>
      <c r="D103" s="362"/>
      <c r="E103" s="360">
        <f>SUM(E104:E105)</f>
        <v>256.04</v>
      </c>
      <c r="F103" s="360">
        <f aca="true" t="shared" si="34" ref="F103:R103">SUM(F104:F105)</f>
        <v>0</v>
      </c>
      <c r="G103" s="360">
        <f t="shared" si="34"/>
        <v>0</v>
      </c>
      <c r="H103" s="360">
        <f t="shared" si="34"/>
        <v>0</v>
      </c>
      <c r="I103" s="360">
        <f t="shared" si="34"/>
        <v>0</v>
      </c>
      <c r="J103" s="360">
        <f t="shared" si="34"/>
        <v>256.04</v>
      </c>
      <c r="K103" s="360">
        <f t="shared" si="34"/>
        <v>0</v>
      </c>
      <c r="L103" s="360">
        <f t="shared" si="34"/>
        <v>0</v>
      </c>
      <c r="M103" s="360">
        <f t="shared" si="34"/>
        <v>0</v>
      </c>
      <c r="N103" s="360">
        <f t="shared" si="34"/>
        <v>0</v>
      </c>
      <c r="O103" s="360">
        <f t="shared" si="34"/>
        <v>0</v>
      </c>
      <c r="P103" s="360">
        <f t="shared" si="34"/>
        <v>0</v>
      </c>
      <c r="Q103" s="360">
        <f t="shared" si="34"/>
        <v>256.04</v>
      </c>
      <c r="R103" s="360">
        <f t="shared" si="34"/>
        <v>128.02</v>
      </c>
    </row>
    <row r="104" spans="1:18" ht="19.5">
      <c r="A104" s="355"/>
      <c r="B104" s="361"/>
      <c r="C104" s="361"/>
      <c r="D104" s="362" t="s">
        <v>222</v>
      </c>
      <c r="E104" s="19">
        <v>159.87</v>
      </c>
      <c r="F104" s="358"/>
      <c r="G104" s="358"/>
      <c r="H104" s="358"/>
      <c r="I104" s="359">
        <f>SUM(F104:H104)*2.5</f>
        <v>0</v>
      </c>
      <c r="J104" s="359">
        <f>E104+I104</f>
        <v>159.87</v>
      </c>
      <c r="K104" s="358"/>
      <c r="L104" s="358"/>
      <c r="M104" s="358"/>
      <c r="N104" s="358"/>
      <c r="O104" s="359">
        <f>SUM(L104:N104)*2.5</f>
        <v>0</v>
      </c>
      <c r="P104" s="359">
        <f>K104+O104</f>
        <v>0</v>
      </c>
      <c r="Q104" s="359">
        <f>J104+P104</f>
        <v>159.87</v>
      </c>
      <c r="R104" s="359">
        <f>Q104/2</f>
        <v>79.935</v>
      </c>
    </row>
    <row r="105" spans="1:18" ht="19.5">
      <c r="A105" s="355"/>
      <c r="B105" s="361"/>
      <c r="C105" s="361"/>
      <c r="D105" s="362" t="s">
        <v>223</v>
      </c>
      <c r="E105" s="19">
        <v>96.17</v>
      </c>
      <c r="F105" s="358"/>
      <c r="G105" s="358"/>
      <c r="H105" s="358"/>
      <c r="I105" s="359">
        <f>SUM(F105:H105)*2.5</f>
        <v>0</v>
      </c>
      <c r="J105" s="359">
        <f>E105+I105</f>
        <v>96.17</v>
      </c>
      <c r="K105" s="358"/>
      <c r="L105" s="358"/>
      <c r="M105" s="358"/>
      <c r="N105" s="358"/>
      <c r="O105" s="359">
        <f>SUM(L105:N105)*2.5</f>
        <v>0</v>
      </c>
      <c r="P105" s="359">
        <f>K105+O105</f>
        <v>0</v>
      </c>
      <c r="Q105" s="359">
        <f>J105+P105</f>
        <v>96.17</v>
      </c>
      <c r="R105" s="359">
        <f>Q105/2</f>
        <v>48.085</v>
      </c>
    </row>
    <row r="106" spans="1:18" ht="19.5">
      <c r="A106" s="355"/>
      <c r="B106" s="371" t="s">
        <v>218</v>
      </c>
      <c r="C106" s="361"/>
      <c r="D106" s="362"/>
      <c r="E106" s="367">
        <f>SUM(E107:E108)</f>
        <v>243.45</v>
      </c>
      <c r="F106" s="367">
        <f aca="true" t="shared" si="35" ref="F106:R106">SUM(F107:F108)</f>
        <v>0</v>
      </c>
      <c r="G106" s="367">
        <f>SUM(G107:G108)</f>
        <v>8.42</v>
      </c>
      <c r="H106" s="367">
        <f t="shared" si="35"/>
        <v>0</v>
      </c>
      <c r="I106" s="367">
        <f>SUM(I107:I108)</f>
        <v>21.05</v>
      </c>
      <c r="J106" s="367">
        <f t="shared" si="35"/>
        <v>264.5</v>
      </c>
      <c r="K106" s="367">
        <f t="shared" si="35"/>
        <v>0</v>
      </c>
      <c r="L106" s="367">
        <f t="shared" si="35"/>
        <v>0</v>
      </c>
      <c r="M106" s="367">
        <f t="shared" si="35"/>
        <v>0</v>
      </c>
      <c r="N106" s="367">
        <f t="shared" si="35"/>
        <v>0</v>
      </c>
      <c r="O106" s="367">
        <f t="shared" si="35"/>
        <v>0</v>
      </c>
      <c r="P106" s="367">
        <f t="shared" si="35"/>
        <v>0</v>
      </c>
      <c r="Q106" s="367">
        <f t="shared" si="35"/>
        <v>264.5</v>
      </c>
      <c r="R106" s="367">
        <f t="shared" si="35"/>
        <v>132.25</v>
      </c>
    </row>
    <row r="107" spans="1:18" ht="19.5">
      <c r="A107" s="355"/>
      <c r="B107" s="361"/>
      <c r="C107" s="361"/>
      <c r="D107" s="362" t="s">
        <v>220</v>
      </c>
      <c r="E107" s="19">
        <v>238</v>
      </c>
      <c r="F107" s="19">
        <v>0</v>
      </c>
      <c r="G107" s="19">
        <v>8.42</v>
      </c>
      <c r="H107" s="358"/>
      <c r="I107" s="359">
        <f>SUM(F107:H107)*2.5</f>
        <v>21.05</v>
      </c>
      <c r="J107" s="359">
        <f>E107+I107</f>
        <v>259.05</v>
      </c>
      <c r="K107" s="358"/>
      <c r="L107" s="358"/>
      <c r="M107" s="358"/>
      <c r="N107" s="358"/>
      <c r="O107" s="359">
        <f>SUM(L107:N107)*2.5</f>
        <v>0</v>
      </c>
      <c r="P107" s="359">
        <f>K107+O107</f>
        <v>0</v>
      </c>
      <c r="Q107" s="359">
        <f>J107+P107</f>
        <v>259.05</v>
      </c>
      <c r="R107" s="359">
        <f>Q107/2</f>
        <v>129.525</v>
      </c>
    </row>
    <row r="108" spans="1:18" ht="19.5">
      <c r="A108" s="355"/>
      <c r="B108" s="361"/>
      <c r="C108" s="361"/>
      <c r="D108" s="362" t="s">
        <v>221</v>
      </c>
      <c r="E108" s="19">
        <v>5.45</v>
      </c>
      <c r="F108" s="358"/>
      <c r="G108" s="358"/>
      <c r="H108" s="358"/>
      <c r="I108" s="359">
        <f>SUM(F108:H108)*2.5</f>
        <v>0</v>
      </c>
      <c r="J108" s="359">
        <f>E108+I108</f>
        <v>5.45</v>
      </c>
      <c r="K108" s="358"/>
      <c r="L108" s="358"/>
      <c r="M108" s="358"/>
      <c r="N108" s="358"/>
      <c r="O108" s="359">
        <f>SUM(L108:N108)*2.5</f>
        <v>0</v>
      </c>
      <c r="P108" s="359">
        <f>K108+O108</f>
        <v>0</v>
      </c>
      <c r="Q108" s="359">
        <f>J108+P108</f>
        <v>5.45</v>
      </c>
      <c r="R108" s="359">
        <f>Q108/2</f>
        <v>2.725</v>
      </c>
    </row>
    <row r="109" spans="1:18" ht="19.5">
      <c r="A109" s="355"/>
      <c r="B109" s="361"/>
      <c r="C109" s="361"/>
      <c r="D109" s="362" t="s">
        <v>197</v>
      </c>
      <c r="E109" s="360"/>
      <c r="F109" s="358"/>
      <c r="G109" s="387">
        <v>4.5</v>
      </c>
      <c r="H109" s="358"/>
      <c r="I109" s="359">
        <f>SUM(F109:H109)*2.5</f>
        <v>11.25</v>
      </c>
      <c r="J109" s="359">
        <f>E109+I109</f>
        <v>11.25</v>
      </c>
      <c r="K109" s="358"/>
      <c r="L109" s="358"/>
      <c r="M109" s="358"/>
      <c r="N109" s="358"/>
      <c r="O109" s="359">
        <f>SUM(L109:N109)*2.5</f>
        <v>0</v>
      </c>
      <c r="P109" s="359">
        <f>K109+O109</f>
        <v>0</v>
      </c>
      <c r="Q109" s="359">
        <f>J109+P109</f>
        <v>11.25</v>
      </c>
      <c r="R109" s="359">
        <f>Q109/2</f>
        <v>5.625</v>
      </c>
    </row>
    <row r="110" spans="1:18" ht="19.5">
      <c r="A110" s="355"/>
      <c r="B110" s="371" t="s">
        <v>178</v>
      </c>
      <c r="C110" s="361"/>
      <c r="D110" s="362"/>
      <c r="E110" s="367">
        <f>SUM(E111+E113+E114)</f>
        <v>422.51</v>
      </c>
      <c r="F110" s="367">
        <f aca="true" t="shared" si="36" ref="F110:R110">SUM(F111+F113+F114)</f>
        <v>0</v>
      </c>
      <c r="G110" s="367">
        <f t="shared" si="36"/>
        <v>5.83</v>
      </c>
      <c r="H110" s="367">
        <f t="shared" si="36"/>
        <v>0</v>
      </c>
      <c r="I110" s="367">
        <f t="shared" si="36"/>
        <v>14.575</v>
      </c>
      <c r="J110" s="367">
        <f t="shared" si="36"/>
        <v>437.085</v>
      </c>
      <c r="K110" s="367">
        <f t="shared" si="36"/>
        <v>0</v>
      </c>
      <c r="L110" s="367">
        <f t="shared" si="36"/>
        <v>0</v>
      </c>
      <c r="M110" s="367">
        <f t="shared" si="36"/>
        <v>0</v>
      </c>
      <c r="N110" s="367">
        <f t="shared" si="36"/>
        <v>0</v>
      </c>
      <c r="O110" s="367">
        <f t="shared" si="36"/>
        <v>0</v>
      </c>
      <c r="P110" s="367">
        <f t="shared" si="36"/>
        <v>0</v>
      </c>
      <c r="Q110" s="367">
        <f t="shared" si="36"/>
        <v>437.085</v>
      </c>
      <c r="R110" s="367">
        <f t="shared" si="36"/>
        <v>218.5425</v>
      </c>
    </row>
    <row r="111" spans="1:18" ht="19.5">
      <c r="A111" s="355"/>
      <c r="B111" s="361"/>
      <c r="C111" s="361"/>
      <c r="D111" s="362" t="s">
        <v>224</v>
      </c>
      <c r="E111" s="19">
        <v>408.96</v>
      </c>
      <c r="F111" s="19">
        <v>0</v>
      </c>
      <c r="G111" s="19">
        <v>0.75</v>
      </c>
      <c r="H111" s="358"/>
      <c r="I111" s="359">
        <f>SUM(F111:H111)*2.5</f>
        <v>1.875</v>
      </c>
      <c r="J111" s="359">
        <f>E111+I111</f>
        <v>410.835</v>
      </c>
      <c r="K111" s="358"/>
      <c r="L111" s="358"/>
      <c r="M111" s="358"/>
      <c r="N111" s="358"/>
      <c r="O111" s="359">
        <f>SUM(L111:N111)*2.5</f>
        <v>0</v>
      </c>
      <c r="P111" s="359">
        <f>K111+O111</f>
        <v>0</v>
      </c>
      <c r="Q111" s="359">
        <f>J111+P111</f>
        <v>410.835</v>
      </c>
      <c r="R111" s="359">
        <f>Q111/2</f>
        <v>205.4175</v>
      </c>
    </row>
    <row r="112" spans="1:18" ht="19.5">
      <c r="A112" s="355"/>
      <c r="B112" s="361"/>
      <c r="C112" s="361"/>
      <c r="D112" s="362" t="s">
        <v>197</v>
      </c>
      <c r="E112" s="360"/>
      <c r="F112" s="358"/>
      <c r="G112" s="387">
        <v>0.5</v>
      </c>
      <c r="H112" s="358"/>
      <c r="I112" s="359">
        <f>SUM(F112:H112)*2.5</f>
        <v>1.25</v>
      </c>
      <c r="J112" s="359">
        <f>E112+I112</f>
        <v>1.25</v>
      </c>
      <c r="K112" s="358"/>
      <c r="L112" s="358"/>
      <c r="M112" s="358"/>
      <c r="N112" s="358"/>
      <c r="O112" s="359">
        <f>SUM(L112:N112)*2.5</f>
        <v>0</v>
      </c>
      <c r="P112" s="359">
        <f>K112+O112</f>
        <v>0</v>
      </c>
      <c r="Q112" s="359">
        <f>J112+P112</f>
        <v>1.25</v>
      </c>
      <c r="R112" s="359">
        <f>Q112/2</f>
        <v>0.625</v>
      </c>
    </row>
    <row r="113" spans="1:18" ht="19.5">
      <c r="A113" s="355"/>
      <c r="B113" s="361"/>
      <c r="C113" s="361"/>
      <c r="D113" s="362" t="s">
        <v>225</v>
      </c>
      <c r="E113" s="360"/>
      <c r="F113" s="358"/>
      <c r="G113" s="387">
        <v>5.08</v>
      </c>
      <c r="H113" s="358"/>
      <c r="I113" s="359">
        <f>SUM(F113:H113)*2.5</f>
        <v>12.7</v>
      </c>
      <c r="J113" s="359">
        <f>E113+I113</f>
        <v>12.7</v>
      </c>
      <c r="K113" s="358"/>
      <c r="L113" s="358"/>
      <c r="M113" s="358"/>
      <c r="N113" s="358"/>
      <c r="O113" s="359">
        <f>SUM(L113:N113)*2.5</f>
        <v>0</v>
      </c>
      <c r="P113" s="359">
        <f>K113+O113</f>
        <v>0</v>
      </c>
      <c r="Q113" s="359">
        <f>J113+P113</f>
        <v>12.7</v>
      </c>
      <c r="R113" s="359">
        <f>Q113/2</f>
        <v>6.35</v>
      </c>
    </row>
    <row r="114" spans="1:18" ht="19.5">
      <c r="A114" s="355"/>
      <c r="B114" s="361"/>
      <c r="C114" s="361"/>
      <c r="D114" s="362" t="s">
        <v>226</v>
      </c>
      <c r="E114" s="19">
        <v>13.55</v>
      </c>
      <c r="F114" s="358"/>
      <c r="G114" s="358"/>
      <c r="H114" s="358"/>
      <c r="I114" s="359">
        <f>SUM(F114:H114)*2.5</f>
        <v>0</v>
      </c>
      <c r="J114" s="359">
        <f>E114+I114</f>
        <v>13.55</v>
      </c>
      <c r="K114" s="358"/>
      <c r="L114" s="358"/>
      <c r="M114" s="358"/>
      <c r="N114" s="358"/>
      <c r="O114" s="359">
        <f>SUM(L114:N114)*2.5</f>
        <v>0</v>
      </c>
      <c r="P114" s="359">
        <f>K114+O114</f>
        <v>0</v>
      </c>
      <c r="Q114" s="359">
        <f>J114+P114</f>
        <v>13.55</v>
      </c>
      <c r="R114" s="359">
        <f>Q114/2</f>
        <v>6.775</v>
      </c>
    </row>
    <row r="115" spans="1:18" ht="19.5">
      <c r="A115" s="355"/>
      <c r="B115" s="361"/>
      <c r="C115" s="361"/>
      <c r="D115" s="362" t="s">
        <v>197</v>
      </c>
      <c r="E115" s="360"/>
      <c r="F115" s="358"/>
      <c r="G115" s="358"/>
      <c r="H115" s="358"/>
      <c r="I115" s="359">
        <f>SUM(F115:H115)*2.5</f>
        <v>0</v>
      </c>
      <c r="J115" s="359">
        <f>E115+I115</f>
        <v>0</v>
      </c>
      <c r="K115" s="358"/>
      <c r="L115" s="358"/>
      <c r="M115" s="358"/>
      <c r="N115" s="358"/>
      <c r="O115" s="359">
        <f>SUM(L115:N115)*2.5</f>
        <v>0</v>
      </c>
      <c r="P115" s="359">
        <f>K115+O115</f>
        <v>0</v>
      </c>
      <c r="Q115" s="359">
        <f>J115+P115</f>
        <v>0</v>
      </c>
      <c r="R115" s="359">
        <f>Q115/2</f>
        <v>0</v>
      </c>
    </row>
    <row r="116" spans="1:18" ht="19.5">
      <c r="A116" s="355"/>
      <c r="B116" s="371" t="s">
        <v>227</v>
      </c>
      <c r="C116" s="361"/>
      <c r="D116" s="362"/>
      <c r="E116" s="367">
        <f>SUM(E117)</f>
        <v>512.11</v>
      </c>
      <c r="F116" s="367">
        <f aca="true" t="shared" si="37" ref="F116:R116">SUM(F117)</f>
        <v>0</v>
      </c>
      <c r="G116" s="367">
        <f t="shared" si="37"/>
        <v>3.08</v>
      </c>
      <c r="H116" s="367">
        <f t="shared" si="37"/>
        <v>0</v>
      </c>
      <c r="I116" s="367">
        <f t="shared" si="37"/>
        <v>7.7</v>
      </c>
      <c r="J116" s="367">
        <f t="shared" si="37"/>
        <v>519.8100000000001</v>
      </c>
      <c r="K116" s="367">
        <f t="shared" si="37"/>
        <v>0</v>
      </c>
      <c r="L116" s="367">
        <f t="shared" si="37"/>
        <v>0</v>
      </c>
      <c r="M116" s="367">
        <f t="shared" si="37"/>
        <v>0</v>
      </c>
      <c r="N116" s="367">
        <f t="shared" si="37"/>
        <v>0</v>
      </c>
      <c r="O116" s="367">
        <f t="shared" si="37"/>
        <v>0</v>
      </c>
      <c r="P116" s="367">
        <f t="shared" si="37"/>
        <v>0</v>
      </c>
      <c r="Q116" s="367">
        <f t="shared" si="37"/>
        <v>519.8100000000001</v>
      </c>
      <c r="R116" s="367">
        <f t="shared" si="37"/>
        <v>259.90500000000003</v>
      </c>
    </row>
    <row r="117" spans="1:18" ht="19.5">
      <c r="A117" s="355"/>
      <c r="B117" s="361"/>
      <c r="C117" s="361"/>
      <c r="D117" s="362" t="s">
        <v>228</v>
      </c>
      <c r="E117" s="19">
        <v>512.11</v>
      </c>
      <c r="F117" s="19">
        <v>0</v>
      </c>
      <c r="G117" s="19">
        <v>3.08</v>
      </c>
      <c r="H117" s="358"/>
      <c r="I117" s="359">
        <f>SUM(F117:H117)*2.5</f>
        <v>7.7</v>
      </c>
      <c r="J117" s="359">
        <f>E117+I117</f>
        <v>519.8100000000001</v>
      </c>
      <c r="K117" s="358"/>
      <c r="L117" s="358"/>
      <c r="M117" s="358"/>
      <c r="N117" s="358"/>
      <c r="O117" s="359">
        <f>SUM(L117:N117)*2.5</f>
        <v>0</v>
      </c>
      <c r="P117" s="359">
        <f>K117+O117</f>
        <v>0</v>
      </c>
      <c r="Q117" s="359">
        <f>J117+P117</f>
        <v>519.8100000000001</v>
      </c>
      <c r="R117" s="359">
        <f>Q117/2</f>
        <v>259.90500000000003</v>
      </c>
    </row>
    <row r="118" spans="1:18" ht="19.5">
      <c r="A118" s="355"/>
      <c r="B118" s="361"/>
      <c r="C118" s="361"/>
      <c r="D118" s="362" t="s">
        <v>197</v>
      </c>
      <c r="E118" s="360"/>
      <c r="F118" s="358"/>
      <c r="G118" s="387">
        <v>3.25</v>
      </c>
      <c r="H118" s="358"/>
      <c r="I118" s="359">
        <f>SUM(F118:H118)*2.5</f>
        <v>8.125</v>
      </c>
      <c r="J118" s="359">
        <f>E118+I118</f>
        <v>8.125</v>
      </c>
      <c r="K118" s="358"/>
      <c r="L118" s="358"/>
      <c r="M118" s="358"/>
      <c r="N118" s="358"/>
      <c r="O118" s="359">
        <f>SUM(L118:N118)*2.5</f>
        <v>0</v>
      </c>
      <c r="P118" s="359">
        <f>K118+O118</f>
        <v>0</v>
      </c>
      <c r="Q118" s="359">
        <f>J118+P118</f>
        <v>8.125</v>
      </c>
      <c r="R118" s="359">
        <f>Q118/2</f>
        <v>4.0625</v>
      </c>
    </row>
    <row r="119" spans="1:18" ht="19.5">
      <c r="A119" s="355"/>
      <c r="B119" s="371" t="s">
        <v>229</v>
      </c>
      <c r="C119" s="361"/>
      <c r="D119" s="362"/>
      <c r="E119" s="360">
        <f>SUM(E120:E121)</f>
        <v>274.89</v>
      </c>
      <c r="F119" s="360">
        <f aca="true" t="shared" si="38" ref="F119:R119">SUM(F120:F121)</f>
        <v>0</v>
      </c>
      <c r="G119" s="360">
        <f t="shared" si="38"/>
        <v>0</v>
      </c>
      <c r="H119" s="360">
        <f t="shared" si="38"/>
        <v>0</v>
      </c>
      <c r="I119" s="360">
        <f t="shared" si="38"/>
        <v>0</v>
      </c>
      <c r="J119" s="360">
        <f t="shared" si="38"/>
        <v>274.89</v>
      </c>
      <c r="K119" s="360">
        <f t="shared" si="38"/>
        <v>0</v>
      </c>
      <c r="L119" s="360">
        <f t="shared" si="38"/>
        <v>0</v>
      </c>
      <c r="M119" s="360">
        <f t="shared" si="38"/>
        <v>0</v>
      </c>
      <c r="N119" s="360">
        <f t="shared" si="38"/>
        <v>0</v>
      </c>
      <c r="O119" s="360">
        <f t="shared" si="38"/>
        <v>0</v>
      </c>
      <c r="P119" s="360">
        <f t="shared" si="38"/>
        <v>0</v>
      </c>
      <c r="Q119" s="360">
        <f t="shared" si="38"/>
        <v>274.89</v>
      </c>
      <c r="R119" s="360">
        <f t="shared" si="38"/>
        <v>137.445</v>
      </c>
    </row>
    <row r="120" spans="1:18" ht="19.5">
      <c r="A120" s="355"/>
      <c r="B120" s="361"/>
      <c r="C120" s="361"/>
      <c r="D120" s="362" t="s">
        <v>230</v>
      </c>
      <c r="E120" s="19">
        <v>25.68</v>
      </c>
      <c r="F120" s="358"/>
      <c r="G120" s="358"/>
      <c r="H120" s="358"/>
      <c r="I120" s="359">
        <f>SUM(F120:H120)*2.5</f>
        <v>0</v>
      </c>
      <c r="J120" s="359">
        <f>E120+I120</f>
        <v>25.68</v>
      </c>
      <c r="K120" s="358"/>
      <c r="L120" s="358"/>
      <c r="M120" s="358"/>
      <c r="N120" s="358"/>
      <c r="O120" s="359">
        <f>SUM(L120:N120)*2.5</f>
        <v>0</v>
      </c>
      <c r="P120" s="359">
        <f>K120+O120</f>
        <v>0</v>
      </c>
      <c r="Q120" s="359">
        <f>J120+P120</f>
        <v>25.68</v>
      </c>
      <c r="R120" s="359">
        <f>Q120/2</f>
        <v>12.84</v>
      </c>
    </row>
    <row r="121" spans="1:18" ht="19.5">
      <c r="A121" s="355"/>
      <c r="B121" s="361"/>
      <c r="C121" s="361"/>
      <c r="D121" s="362" t="s">
        <v>231</v>
      </c>
      <c r="E121" s="19">
        <v>249.21</v>
      </c>
      <c r="F121" s="358"/>
      <c r="G121" s="358"/>
      <c r="H121" s="358"/>
      <c r="I121" s="359">
        <f>SUM(F121:H121)*2.5</f>
        <v>0</v>
      </c>
      <c r="J121" s="359">
        <f>E121+I121</f>
        <v>249.21</v>
      </c>
      <c r="K121" s="358"/>
      <c r="L121" s="358"/>
      <c r="M121" s="358"/>
      <c r="N121" s="358"/>
      <c r="O121" s="359">
        <f>SUM(L121:N121)*2.5</f>
        <v>0</v>
      </c>
      <c r="P121" s="359">
        <f>K121+O121</f>
        <v>0</v>
      </c>
      <c r="Q121" s="359">
        <f>J121+P121</f>
        <v>249.21</v>
      </c>
      <c r="R121" s="359">
        <f>Q121/2</f>
        <v>124.605</v>
      </c>
    </row>
    <row r="122" spans="1:18" ht="19.5">
      <c r="A122" s="352" t="s">
        <v>273</v>
      </c>
      <c r="B122" s="352"/>
      <c r="C122" s="352"/>
      <c r="D122" s="353"/>
      <c r="E122" s="354">
        <f>SUM(E123+E126+E127)</f>
        <v>655.22</v>
      </c>
      <c r="F122" s="354">
        <f aca="true" t="shared" si="39" ref="F122:R122">SUM(F123+F126+F127)</f>
        <v>0</v>
      </c>
      <c r="G122" s="354">
        <f t="shared" si="39"/>
        <v>0</v>
      </c>
      <c r="H122" s="354">
        <f t="shared" si="39"/>
        <v>0</v>
      </c>
      <c r="I122" s="354">
        <f t="shared" si="39"/>
        <v>0</v>
      </c>
      <c r="J122" s="354">
        <f t="shared" si="39"/>
        <v>655.22</v>
      </c>
      <c r="K122" s="354">
        <f t="shared" si="39"/>
        <v>0</v>
      </c>
      <c r="L122" s="354">
        <f t="shared" si="39"/>
        <v>0</v>
      </c>
      <c r="M122" s="354">
        <f t="shared" si="39"/>
        <v>0</v>
      </c>
      <c r="N122" s="354">
        <f t="shared" si="39"/>
        <v>0</v>
      </c>
      <c r="O122" s="354">
        <f t="shared" si="39"/>
        <v>0</v>
      </c>
      <c r="P122" s="354">
        <f t="shared" si="39"/>
        <v>0</v>
      </c>
      <c r="Q122" s="354">
        <f t="shared" si="39"/>
        <v>655.22</v>
      </c>
      <c r="R122" s="354">
        <f t="shared" si="39"/>
        <v>327.61</v>
      </c>
    </row>
    <row r="123" spans="1:18" ht="19.5">
      <c r="A123" s="355"/>
      <c r="B123" s="371" t="s">
        <v>234</v>
      </c>
      <c r="C123" s="361"/>
      <c r="D123" s="362"/>
      <c r="E123" s="360">
        <f>SUM(E124:E125)</f>
        <v>487.67</v>
      </c>
      <c r="F123" s="360">
        <f aca="true" t="shared" si="40" ref="F123:R123">SUM(F124:F125)</f>
        <v>0</v>
      </c>
      <c r="G123" s="360">
        <f t="shared" si="40"/>
        <v>0</v>
      </c>
      <c r="H123" s="360">
        <f t="shared" si="40"/>
        <v>0</v>
      </c>
      <c r="I123" s="360">
        <f t="shared" si="40"/>
        <v>0</v>
      </c>
      <c r="J123" s="360">
        <f t="shared" si="40"/>
        <v>487.67</v>
      </c>
      <c r="K123" s="360">
        <f t="shared" si="40"/>
        <v>0</v>
      </c>
      <c r="L123" s="360">
        <f t="shared" si="40"/>
        <v>0</v>
      </c>
      <c r="M123" s="360">
        <f t="shared" si="40"/>
        <v>0</v>
      </c>
      <c r="N123" s="360">
        <f t="shared" si="40"/>
        <v>0</v>
      </c>
      <c r="O123" s="360">
        <f t="shared" si="40"/>
        <v>0</v>
      </c>
      <c r="P123" s="360">
        <f t="shared" si="40"/>
        <v>0</v>
      </c>
      <c r="Q123" s="360">
        <f t="shared" si="40"/>
        <v>487.67</v>
      </c>
      <c r="R123" s="360">
        <f t="shared" si="40"/>
        <v>243.835</v>
      </c>
    </row>
    <row r="124" spans="1:18" ht="19.5">
      <c r="A124" s="361"/>
      <c r="B124" s="361"/>
      <c r="C124" s="361"/>
      <c r="D124" s="362" t="s">
        <v>232</v>
      </c>
      <c r="E124" s="387">
        <v>487.67</v>
      </c>
      <c r="F124" s="358"/>
      <c r="G124" s="358"/>
      <c r="H124" s="358"/>
      <c r="I124" s="359">
        <f>SUM(F124:H124)*2.5</f>
        <v>0</v>
      </c>
      <c r="J124" s="359">
        <f>E124+I124</f>
        <v>487.67</v>
      </c>
      <c r="K124" s="358"/>
      <c r="L124" s="358"/>
      <c r="M124" s="358"/>
      <c r="N124" s="358"/>
      <c r="O124" s="359">
        <f>SUM(L124:N124)*2.5</f>
        <v>0</v>
      </c>
      <c r="P124" s="359">
        <f>K124+O124</f>
        <v>0</v>
      </c>
      <c r="Q124" s="359">
        <f>J124+P124</f>
        <v>487.67</v>
      </c>
      <c r="R124" s="359">
        <f>Q124/2</f>
        <v>243.835</v>
      </c>
    </row>
    <row r="125" spans="1:18" ht="19.5">
      <c r="A125" s="361"/>
      <c r="B125" s="361"/>
      <c r="C125" s="361"/>
      <c r="D125" s="362" t="s">
        <v>233</v>
      </c>
      <c r="E125" s="360"/>
      <c r="F125" s="358"/>
      <c r="G125" s="358"/>
      <c r="H125" s="358"/>
      <c r="I125" s="359">
        <f>SUM(F125:H125)*2.5</f>
        <v>0</v>
      </c>
      <c r="J125" s="359">
        <f>E125+I125</f>
        <v>0</v>
      </c>
      <c r="K125" s="358"/>
      <c r="L125" s="358"/>
      <c r="M125" s="358"/>
      <c r="N125" s="358"/>
      <c r="O125" s="359">
        <f>SUM(L125:N125)*2.5</f>
        <v>0</v>
      </c>
      <c r="P125" s="359">
        <f>K125+O125</f>
        <v>0</v>
      </c>
      <c r="Q125" s="359">
        <f>J125+P125</f>
        <v>0</v>
      </c>
      <c r="R125" s="359">
        <f>Q125/2</f>
        <v>0</v>
      </c>
    </row>
    <row r="126" spans="1:18" ht="19.5">
      <c r="A126" s="355"/>
      <c r="B126" s="371" t="s">
        <v>235</v>
      </c>
      <c r="C126" s="361"/>
      <c r="D126" s="362"/>
      <c r="E126" s="387">
        <v>72.99</v>
      </c>
      <c r="F126" s="358"/>
      <c r="G126" s="358"/>
      <c r="H126" s="358"/>
      <c r="I126" s="359">
        <f>SUM(F126:H126)*2.5</f>
        <v>0</v>
      </c>
      <c r="J126" s="359">
        <f>E126+I126</f>
        <v>72.99</v>
      </c>
      <c r="K126" s="358"/>
      <c r="L126" s="358"/>
      <c r="M126" s="358"/>
      <c r="N126" s="358"/>
      <c r="O126" s="359">
        <f>SUM(L126:N126)*2.5</f>
        <v>0</v>
      </c>
      <c r="P126" s="359">
        <f>K126+O126</f>
        <v>0</v>
      </c>
      <c r="Q126" s="359">
        <f>J126+P126</f>
        <v>72.99</v>
      </c>
      <c r="R126" s="359">
        <f>Q126/2</f>
        <v>36.495</v>
      </c>
    </row>
    <row r="127" spans="1:18" ht="19.5">
      <c r="A127" s="355"/>
      <c r="B127" s="371" t="s">
        <v>236</v>
      </c>
      <c r="C127" s="361"/>
      <c r="D127" s="362"/>
      <c r="E127" s="387">
        <v>94.56</v>
      </c>
      <c r="F127" s="358"/>
      <c r="G127" s="358"/>
      <c r="H127" s="358"/>
      <c r="I127" s="359">
        <f>SUM(F127:H127)*2.5</f>
        <v>0</v>
      </c>
      <c r="J127" s="359">
        <f>E127+I127</f>
        <v>94.56</v>
      </c>
      <c r="K127" s="358"/>
      <c r="L127" s="358"/>
      <c r="M127" s="358"/>
      <c r="N127" s="358"/>
      <c r="O127" s="359">
        <f>SUM(L127:N127)*2.5</f>
        <v>0</v>
      </c>
      <c r="P127" s="359">
        <f>K127+O127</f>
        <v>0</v>
      </c>
      <c r="Q127" s="359">
        <f>J127+P127</f>
        <v>94.56</v>
      </c>
      <c r="R127" s="359">
        <f>Q127/2</f>
        <v>47.28</v>
      </c>
    </row>
    <row r="128" spans="1:18" ht="19.5">
      <c r="A128" s="352" t="s">
        <v>274</v>
      </c>
      <c r="B128" s="352"/>
      <c r="C128" s="352"/>
      <c r="D128" s="353"/>
      <c r="E128" s="388">
        <f>SUM(E129+E133)</f>
        <v>194.24</v>
      </c>
      <c r="F128" s="388">
        <f aca="true" t="shared" si="41" ref="F128:R128">SUM(F129+F133)</f>
        <v>0</v>
      </c>
      <c r="G128" s="388">
        <f t="shared" si="41"/>
        <v>0</v>
      </c>
      <c r="H128" s="388">
        <f t="shared" si="41"/>
        <v>0</v>
      </c>
      <c r="I128" s="388">
        <f t="shared" si="41"/>
        <v>0</v>
      </c>
      <c r="J128" s="388">
        <f t="shared" si="41"/>
        <v>194.24</v>
      </c>
      <c r="K128" s="388">
        <f t="shared" si="41"/>
        <v>0</v>
      </c>
      <c r="L128" s="388">
        <f t="shared" si="41"/>
        <v>0</v>
      </c>
      <c r="M128" s="388">
        <f t="shared" si="41"/>
        <v>0</v>
      </c>
      <c r="N128" s="388">
        <f t="shared" si="41"/>
        <v>0</v>
      </c>
      <c r="O128" s="388">
        <f t="shared" si="41"/>
        <v>0</v>
      </c>
      <c r="P128" s="388">
        <f t="shared" si="41"/>
        <v>0</v>
      </c>
      <c r="Q128" s="388">
        <f t="shared" si="41"/>
        <v>194.24</v>
      </c>
      <c r="R128" s="388">
        <f t="shared" si="41"/>
        <v>97.12</v>
      </c>
    </row>
    <row r="129" spans="1:18" ht="19.5">
      <c r="A129" s="371"/>
      <c r="B129" s="371" t="s">
        <v>237</v>
      </c>
      <c r="C129" s="361"/>
      <c r="D129" s="386"/>
      <c r="E129" s="360">
        <f>SUM(E130:E132)</f>
        <v>90.74</v>
      </c>
      <c r="F129" s="390">
        <f aca="true" t="shared" si="42" ref="F129:R129">SUM(F130:F132)</f>
        <v>0</v>
      </c>
      <c r="G129" s="390">
        <f t="shared" si="42"/>
        <v>0</v>
      </c>
      <c r="H129" s="390">
        <f t="shared" si="42"/>
        <v>0</v>
      </c>
      <c r="I129" s="390">
        <f t="shared" si="42"/>
        <v>0</v>
      </c>
      <c r="J129" s="360">
        <f t="shared" si="42"/>
        <v>90.74</v>
      </c>
      <c r="K129" s="390">
        <f t="shared" si="42"/>
        <v>0</v>
      </c>
      <c r="L129" s="390">
        <f t="shared" si="42"/>
        <v>0</v>
      </c>
      <c r="M129" s="390">
        <f t="shared" si="42"/>
        <v>0</v>
      </c>
      <c r="N129" s="390">
        <f t="shared" si="42"/>
        <v>0</v>
      </c>
      <c r="O129" s="390">
        <f t="shared" si="42"/>
        <v>0</v>
      </c>
      <c r="P129" s="390">
        <f t="shared" si="42"/>
        <v>0</v>
      </c>
      <c r="Q129" s="390">
        <f t="shared" si="42"/>
        <v>90.74</v>
      </c>
      <c r="R129" s="390">
        <f t="shared" si="42"/>
        <v>45.37</v>
      </c>
    </row>
    <row r="130" spans="1:18" ht="19.5">
      <c r="A130" s="371"/>
      <c r="B130" s="361"/>
      <c r="C130" s="361"/>
      <c r="D130" s="362" t="s">
        <v>239</v>
      </c>
      <c r="E130" s="390"/>
      <c r="F130" s="391"/>
      <c r="G130" s="391"/>
      <c r="H130" s="391"/>
      <c r="I130" s="359">
        <f>SUM(F130:H130)*2.5</f>
        <v>0</v>
      </c>
      <c r="J130" s="358">
        <f>E130+I130</f>
        <v>0</v>
      </c>
      <c r="K130" s="391"/>
      <c r="L130" s="391"/>
      <c r="M130" s="391"/>
      <c r="N130" s="391"/>
      <c r="O130" s="359">
        <f>SUM(L130:N130)*2.5</f>
        <v>0</v>
      </c>
      <c r="P130" s="391">
        <f>K130+O130</f>
        <v>0</v>
      </c>
      <c r="Q130" s="391">
        <f>J130+P130</f>
        <v>0</v>
      </c>
      <c r="R130" s="391">
        <f>Q130/2</f>
        <v>0</v>
      </c>
    </row>
    <row r="131" spans="1:18" ht="19.5">
      <c r="A131" s="371"/>
      <c r="B131" s="361"/>
      <c r="C131" s="361"/>
      <c r="D131" s="362" t="s">
        <v>240</v>
      </c>
      <c r="E131" s="19">
        <v>26.49</v>
      </c>
      <c r="F131" s="391"/>
      <c r="G131" s="391"/>
      <c r="H131" s="391"/>
      <c r="I131" s="359">
        <f>SUM(F131:H131)*2.5</f>
        <v>0</v>
      </c>
      <c r="J131" s="358">
        <f>E131+I131</f>
        <v>26.49</v>
      </c>
      <c r="K131" s="391"/>
      <c r="L131" s="391"/>
      <c r="M131" s="391"/>
      <c r="N131" s="391"/>
      <c r="O131" s="359">
        <f>SUM(L131:N131)*2.5</f>
        <v>0</v>
      </c>
      <c r="P131" s="391">
        <f>K131+O131</f>
        <v>0</v>
      </c>
      <c r="Q131" s="391">
        <f>J131+P131</f>
        <v>26.49</v>
      </c>
      <c r="R131" s="391">
        <f>Q131/2</f>
        <v>13.245</v>
      </c>
    </row>
    <row r="132" spans="1:18" ht="19.5">
      <c r="A132" s="371"/>
      <c r="B132" s="361"/>
      <c r="C132" s="361"/>
      <c r="D132" s="362" t="s">
        <v>241</v>
      </c>
      <c r="E132" s="19">
        <v>64.25</v>
      </c>
      <c r="F132" s="391"/>
      <c r="G132" s="391"/>
      <c r="H132" s="391"/>
      <c r="I132" s="359">
        <f>SUM(F132:H132)*2.5</f>
        <v>0</v>
      </c>
      <c r="J132" s="358">
        <f>E132+I132</f>
        <v>64.25</v>
      </c>
      <c r="K132" s="391"/>
      <c r="L132" s="391"/>
      <c r="M132" s="391"/>
      <c r="N132" s="391"/>
      <c r="O132" s="359">
        <f>SUM(L132:N132)*2.5</f>
        <v>0</v>
      </c>
      <c r="P132" s="391">
        <f>K132+O132</f>
        <v>0</v>
      </c>
      <c r="Q132" s="391">
        <f>J132+P132</f>
        <v>64.25</v>
      </c>
      <c r="R132" s="391">
        <f>Q132/2</f>
        <v>32.125</v>
      </c>
    </row>
    <row r="133" spans="1:18" ht="19.5">
      <c r="A133" s="392"/>
      <c r="B133" s="393" t="s">
        <v>238</v>
      </c>
      <c r="C133" s="394"/>
      <c r="D133" s="395"/>
      <c r="E133" s="396">
        <v>103.5</v>
      </c>
      <c r="F133" s="397"/>
      <c r="G133" s="397"/>
      <c r="H133" s="397"/>
      <c r="I133" s="398">
        <f>SUM(F133:H133)*2.5</f>
        <v>0</v>
      </c>
      <c r="J133" s="397">
        <f>E133+I133</f>
        <v>103.5</v>
      </c>
      <c r="K133" s="397"/>
      <c r="L133" s="397"/>
      <c r="M133" s="397"/>
      <c r="N133" s="397"/>
      <c r="O133" s="398">
        <f>SUM(L133:N133)*2.5</f>
        <v>0</v>
      </c>
      <c r="P133" s="399">
        <f>K133+O133</f>
        <v>0</v>
      </c>
      <c r="Q133" s="399">
        <f>J133+P133</f>
        <v>103.5</v>
      </c>
      <c r="R133" s="399">
        <f>Q133/2</f>
        <v>51.75</v>
      </c>
    </row>
    <row r="134" spans="1:18" ht="18.75">
      <c r="A134" s="400"/>
      <c r="B134" s="400"/>
      <c r="C134" s="400"/>
      <c r="D134" s="400"/>
      <c r="E134" s="401"/>
      <c r="F134" s="401"/>
      <c r="G134" s="401"/>
      <c r="H134" s="401"/>
      <c r="I134" s="401"/>
      <c r="J134" s="402"/>
      <c r="K134" s="401"/>
      <c r="L134" s="401"/>
      <c r="M134" s="401"/>
      <c r="N134" s="401"/>
      <c r="O134" s="401"/>
      <c r="P134" s="402"/>
      <c r="Q134" s="402"/>
      <c r="R134" s="402"/>
    </row>
    <row r="135" spans="1:18" ht="18.75">
      <c r="A135" s="403" t="s">
        <v>276</v>
      </c>
      <c r="B135" s="403"/>
      <c r="C135" s="403"/>
      <c r="D135" s="403"/>
      <c r="E135" s="403"/>
      <c r="F135" s="403"/>
      <c r="G135" s="403"/>
      <c r="H135" s="403"/>
      <c r="I135" s="403"/>
      <c r="J135" s="403"/>
      <c r="K135" s="404"/>
      <c r="L135" s="404"/>
      <c r="M135" s="404"/>
      <c r="N135" s="404"/>
      <c r="O135" s="404"/>
      <c r="P135" s="404"/>
      <c r="Q135" s="404"/>
      <c r="R135" s="404"/>
    </row>
    <row r="136" spans="1:18" ht="18.75">
      <c r="A136" s="405" t="s">
        <v>278</v>
      </c>
      <c r="B136" s="405"/>
      <c r="C136" s="405"/>
      <c r="D136" s="405"/>
      <c r="E136" s="403"/>
      <c r="F136" s="403"/>
      <c r="G136" s="403"/>
      <c r="H136" s="403"/>
      <c r="I136" s="403"/>
      <c r="J136" s="403"/>
      <c r="K136" s="404"/>
      <c r="L136" s="404"/>
      <c r="M136" s="404"/>
      <c r="N136" s="404"/>
      <c r="O136" s="404"/>
      <c r="P136" s="404"/>
      <c r="Q136" s="404"/>
      <c r="R136" s="404"/>
    </row>
    <row r="137" spans="1:18" ht="18.75">
      <c r="A137" s="404" t="s">
        <v>277</v>
      </c>
      <c r="B137" s="404"/>
      <c r="C137" s="404"/>
      <c r="D137" s="404"/>
      <c r="E137" s="404"/>
      <c r="F137" s="404"/>
      <c r="G137" s="404"/>
      <c r="H137" s="404"/>
      <c r="I137" s="404"/>
      <c r="J137" s="404"/>
      <c r="K137" s="404"/>
      <c r="L137" s="404"/>
      <c r="M137" s="404"/>
      <c r="N137" s="404"/>
      <c r="O137" s="404"/>
      <c r="P137" s="404"/>
      <c r="Q137" s="404"/>
      <c r="R137" s="404"/>
    </row>
    <row r="138" spans="1:18" ht="21.75">
      <c r="A138" s="406"/>
      <c r="B138" s="406"/>
      <c r="C138" s="406"/>
      <c r="D138" s="406"/>
      <c r="E138" s="406"/>
      <c r="F138" s="406"/>
      <c r="G138" s="406"/>
      <c r="H138" s="406"/>
      <c r="I138" s="406"/>
      <c r="J138" s="406"/>
      <c r="K138" s="406"/>
      <c r="L138" s="406"/>
      <c r="M138" s="406"/>
      <c r="N138" s="406"/>
      <c r="O138" s="406"/>
      <c r="P138" s="406"/>
      <c r="Q138" s="406"/>
      <c r="R138" s="406"/>
    </row>
    <row r="139" spans="1:18" ht="21.75">
      <c r="A139" s="406"/>
      <c r="B139" s="406"/>
      <c r="C139" s="406"/>
      <c r="D139" s="406"/>
      <c r="E139" s="406"/>
      <c r="F139" s="406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</row>
    <row r="140" spans="1:18" ht="21.75">
      <c r="A140" s="406"/>
      <c r="B140" s="406"/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  <c r="P140" s="406"/>
      <c r="Q140" s="406"/>
      <c r="R140" s="406"/>
    </row>
    <row r="141" spans="1:18" ht="21.75">
      <c r="A141" s="406"/>
      <c r="B141" s="406"/>
      <c r="C141" s="406"/>
      <c r="D141" s="406"/>
      <c r="E141" s="406"/>
      <c r="F141" s="406"/>
      <c r="G141" s="406"/>
      <c r="H141" s="406"/>
      <c r="I141" s="406"/>
      <c r="J141" s="406"/>
      <c r="K141" s="406"/>
      <c r="L141" s="406"/>
      <c r="M141" s="406"/>
      <c r="N141" s="406"/>
      <c r="O141" s="406"/>
      <c r="P141" s="406"/>
      <c r="Q141" s="406"/>
      <c r="R141" s="406"/>
    </row>
    <row r="142" spans="1:18" ht="21.75">
      <c r="A142" s="406"/>
      <c r="B142" s="406"/>
      <c r="C142" s="406"/>
      <c r="D142" s="406"/>
      <c r="E142" s="406"/>
      <c r="F142" s="406"/>
      <c r="G142" s="406"/>
      <c r="H142" s="406"/>
      <c r="I142" s="406"/>
      <c r="J142" s="406"/>
      <c r="K142" s="406"/>
      <c r="L142" s="406"/>
      <c r="M142" s="406"/>
      <c r="N142" s="406"/>
      <c r="O142" s="406"/>
      <c r="P142" s="406"/>
      <c r="Q142" s="406"/>
      <c r="R142" s="406"/>
    </row>
    <row r="143" spans="1:18" ht="21.75">
      <c r="A143" s="406"/>
      <c r="B143" s="406"/>
      <c r="C143" s="406"/>
      <c r="D143" s="406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</row>
    <row r="144" spans="1:18" ht="21.75">
      <c r="A144" s="406"/>
      <c r="B144" s="406"/>
      <c r="C144" s="406"/>
      <c r="D144" s="406"/>
      <c r="E144" s="406"/>
      <c r="F144" s="406"/>
      <c r="G144" s="406"/>
      <c r="H144" s="406"/>
      <c r="I144" s="406"/>
      <c r="J144" s="406"/>
      <c r="K144" s="406"/>
      <c r="L144" s="406"/>
      <c r="M144" s="406"/>
      <c r="N144" s="406"/>
      <c r="O144" s="406"/>
      <c r="P144" s="406"/>
      <c r="Q144" s="406"/>
      <c r="R144" s="406"/>
    </row>
    <row r="145" spans="1:18" ht="21.75">
      <c r="A145" s="406"/>
      <c r="B145" s="406"/>
      <c r="C145" s="406"/>
      <c r="D145" s="406"/>
      <c r="E145" s="406"/>
      <c r="F145" s="406"/>
      <c r="G145" s="406"/>
      <c r="H145" s="406"/>
      <c r="I145" s="406"/>
      <c r="J145" s="406"/>
      <c r="K145" s="406"/>
      <c r="L145" s="406"/>
      <c r="M145" s="406"/>
      <c r="N145" s="406"/>
      <c r="O145" s="406"/>
      <c r="P145" s="406"/>
      <c r="Q145" s="406"/>
      <c r="R145" s="406"/>
    </row>
    <row r="146" spans="1:18" ht="21.75">
      <c r="A146" s="406"/>
      <c r="B146" s="406"/>
      <c r="C146" s="406"/>
      <c r="D146" s="406"/>
      <c r="E146" s="406"/>
      <c r="F146" s="406"/>
      <c r="G146" s="406"/>
      <c r="H146" s="406"/>
      <c r="I146" s="406"/>
      <c r="J146" s="406"/>
      <c r="K146" s="406"/>
      <c r="L146" s="406"/>
      <c r="M146" s="406"/>
      <c r="N146" s="406"/>
      <c r="O146" s="406"/>
      <c r="P146" s="406"/>
      <c r="Q146" s="406"/>
      <c r="R146" s="406"/>
    </row>
    <row r="147" spans="1:18" ht="21.75">
      <c r="A147" s="406"/>
      <c r="B147" s="406"/>
      <c r="C147" s="406"/>
      <c r="D147" s="406"/>
      <c r="E147" s="406"/>
      <c r="F147" s="406"/>
      <c r="G147" s="406"/>
      <c r="H147" s="406"/>
      <c r="I147" s="406"/>
      <c r="J147" s="406"/>
      <c r="K147" s="406"/>
      <c r="L147" s="406"/>
      <c r="M147" s="406"/>
      <c r="N147" s="406"/>
      <c r="O147" s="406"/>
      <c r="P147" s="406"/>
      <c r="Q147" s="406"/>
      <c r="R147" s="406"/>
    </row>
    <row r="148" spans="1:18" ht="21.75">
      <c r="A148" s="406"/>
      <c r="B148" s="406"/>
      <c r="C148" s="406"/>
      <c r="D148" s="406"/>
      <c r="E148" s="406"/>
      <c r="F148" s="406"/>
      <c r="G148" s="406"/>
      <c r="H148" s="406"/>
      <c r="I148" s="406"/>
      <c r="J148" s="406"/>
      <c r="K148" s="406"/>
      <c r="L148" s="406"/>
      <c r="M148" s="406"/>
      <c r="N148" s="406"/>
      <c r="O148" s="406"/>
      <c r="P148" s="406"/>
      <c r="Q148" s="406"/>
      <c r="R148" s="406"/>
    </row>
    <row r="149" spans="1:18" ht="21.75">
      <c r="A149" s="406"/>
      <c r="B149" s="406"/>
      <c r="C149" s="406"/>
      <c r="D149" s="406"/>
      <c r="E149" s="406"/>
      <c r="F149" s="406"/>
      <c r="G149" s="406"/>
      <c r="H149" s="406"/>
      <c r="I149" s="406"/>
      <c r="J149" s="406"/>
      <c r="K149" s="406"/>
      <c r="L149" s="406"/>
      <c r="M149" s="406"/>
      <c r="N149" s="406"/>
      <c r="O149" s="406"/>
      <c r="P149" s="406"/>
      <c r="Q149" s="406"/>
      <c r="R149" s="406"/>
    </row>
    <row r="150" spans="1:18" ht="21.75">
      <c r="A150" s="406"/>
      <c r="B150" s="406"/>
      <c r="C150" s="406"/>
      <c r="D150" s="406"/>
      <c r="E150" s="406"/>
      <c r="F150" s="406"/>
      <c r="G150" s="406"/>
      <c r="H150" s="406"/>
      <c r="I150" s="406"/>
      <c r="J150" s="406"/>
      <c r="K150" s="406"/>
      <c r="L150" s="406"/>
      <c r="M150" s="406"/>
      <c r="N150" s="406"/>
      <c r="O150" s="406"/>
      <c r="P150" s="406"/>
      <c r="Q150" s="406"/>
      <c r="R150" s="406"/>
    </row>
  </sheetData>
  <sheetProtection/>
  <mergeCells count="6">
    <mergeCell ref="A1:R1"/>
    <mergeCell ref="A2:D4"/>
    <mergeCell ref="E2:J2"/>
    <mergeCell ref="K2:P2"/>
    <mergeCell ref="E3:I3"/>
    <mergeCell ref="K3:O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95" r:id="rId1"/>
  <headerFooter alignWithMargins="0">
    <oddFooter>&amp;L&amp;10งานสารสนเทศและประเมินผล&amp;C&amp;10 ข้อมูล ณ วันที  13  พฤศจิกายน  2550&amp;R&amp;10FTES 2 - 50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52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B10" sqref="AB10"/>
    </sheetView>
  </sheetViews>
  <sheetFormatPr defaultColWidth="9.140625" defaultRowHeight="21.75"/>
  <cols>
    <col min="1" max="1" width="1.8515625" style="243" customWidth="1"/>
    <col min="2" max="3" width="2.28125" style="243" customWidth="1"/>
    <col min="4" max="4" width="24.00390625" style="243" customWidth="1"/>
    <col min="5" max="5" width="9.8515625" style="243" bestFit="1" customWidth="1"/>
    <col min="6" max="6" width="9.7109375" style="243" customWidth="1"/>
    <col min="7" max="7" width="10.00390625" style="243" customWidth="1"/>
    <col min="8" max="11" width="9.7109375" style="243" customWidth="1"/>
    <col min="12" max="18" width="7.8515625" style="243" customWidth="1"/>
    <col min="19" max="19" width="10.140625" style="243" bestFit="1" customWidth="1"/>
    <col min="20" max="25" width="7.8515625" style="243" hidden="1" customWidth="1"/>
    <col min="26" max="26" width="9.7109375" style="243" hidden="1" customWidth="1"/>
    <col min="27" max="27" width="9.28125" style="243" hidden="1" customWidth="1"/>
    <col min="28" max="16384" width="9.140625" style="243" customWidth="1"/>
  </cols>
  <sheetData>
    <row r="1" spans="1:27" ht="21.75" customHeight="1">
      <c r="A1" s="527" t="s">
        <v>261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</row>
    <row r="2" spans="1:27" ht="18.75">
      <c r="A2" s="528" t="s">
        <v>4</v>
      </c>
      <c r="B2" s="540"/>
      <c r="C2" s="540"/>
      <c r="D2" s="541"/>
      <c r="E2" s="537" t="s">
        <v>115</v>
      </c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8"/>
      <c r="T2" s="537" t="s">
        <v>115</v>
      </c>
      <c r="U2" s="537"/>
      <c r="V2" s="537"/>
      <c r="W2" s="537"/>
      <c r="X2" s="537"/>
      <c r="Y2" s="538"/>
      <c r="Z2" s="244" t="s">
        <v>3</v>
      </c>
      <c r="AA2" s="245"/>
    </row>
    <row r="3" spans="1:27" ht="18.75">
      <c r="A3" s="542"/>
      <c r="B3" s="543"/>
      <c r="C3" s="543"/>
      <c r="D3" s="544"/>
      <c r="E3" s="537" t="s">
        <v>5</v>
      </c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8"/>
      <c r="S3" s="246" t="s">
        <v>3</v>
      </c>
      <c r="T3" s="539" t="s">
        <v>5</v>
      </c>
      <c r="U3" s="537"/>
      <c r="V3" s="537"/>
      <c r="W3" s="537"/>
      <c r="X3" s="538"/>
      <c r="Y3" s="246" t="s">
        <v>3</v>
      </c>
      <c r="Z3" s="247" t="s">
        <v>6</v>
      </c>
      <c r="AA3" s="247" t="s">
        <v>7</v>
      </c>
    </row>
    <row r="4" spans="1:27" ht="18.75">
      <c r="A4" s="545"/>
      <c r="B4" s="546"/>
      <c r="C4" s="546"/>
      <c r="D4" s="547"/>
      <c r="E4" s="539" t="s">
        <v>8</v>
      </c>
      <c r="F4" s="537"/>
      <c r="G4" s="537"/>
      <c r="H4" s="537"/>
      <c r="I4" s="537"/>
      <c r="J4" s="537"/>
      <c r="K4" s="538"/>
      <c r="L4" s="539" t="s">
        <v>9</v>
      </c>
      <c r="M4" s="538"/>
      <c r="N4" s="539" t="s">
        <v>10</v>
      </c>
      <c r="O4" s="538"/>
      <c r="P4" s="539" t="s">
        <v>11</v>
      </c>
      <c r="Q4" s="538"/>
      <c r="R4" s="345" t="s">
        <v>12</v>
      </c>
      <c r="S4" s="248" t="s">
        <v>13</v>
      </c>
      <c r="T4" s="248" t="s">
        <v>8</v>
      </c>
      <c r="U4" s="248" t="s">
        <v>9</v>
      </c>
      <c r="V4" s="248" t="s">
        <v>10</v>
      </c>
      <c r="W4" s="248" t="s">
        <v>11</v>
      </c>
      <c r="X4" s="248" t="s">
        <v>12</v>
      </c>
      <c r="Y4" s="248" t="s">
        <v>13</v>
      </c>
      <c r="Z4" s="249"/>
      <c r="AA4" s="250"/>
    </row>
    <row r="5" spans="1:27" ht="21.75">
      <c r="A5" s="419"/>
      <c r="B5" s="327"/>
      <c r="C5" s="327"/>
      <c r="D5" s="328"/>
      <c r="E5" s="415" t="s">
        <v>287</v>
      </c>
      <c r="F5" s="415" t="s">
        <v>242</v>
      </c>
      <c r="G5" s="415" t="s">
        <v>286</v>
      </c>
      <c r="H5" s="415" t="s">
        <v>287</v>
      </c>
      <c r="I5" s="415" t="s">
        <v>285</v>
      </c>
      <c r="J5" s="411" t="s">
        <v>283</v>
      </c>
      <c r="K5" s="418" t="s">
        <v>3</v>
      </c>
      <c r="L5" s="415" t="s">
        <v>282</v>
      </c>
      <c r="M5" s="411" t="s">
        <v>284</v>
      </c>
      <c r="N5" s="415" t="s">
        <v>282</v>
      </c>
      <c r="O5" s="411" t="s">
        <v>284</v>
      </c>
      <c r="P5" s="415" t="s">
        <v>282</v>
      </c>
      <c r="Q5" s="411" t="s">
        <v>284</v>
      </c>
      <c r="R5" s="412"/>
      <c r="S5" s="412"/>
      <c r="T5" s="412"/>
      <c r="U5" s="412"/>
      <c r="V5" s="412"/>
      <c r="W5" s="412"/>
      <c r="X5" s="412"/>
      <c r="Y5" s="412"/>
      <c r="Z5" s="413"/>
      <c r="AA5" s="414"/>
    </row>
    <row r="6" spans="1:27" ht="19.5">
      <c r="A6" s="407" t="s">
        <v>14</v>
      </c>
      <c r="B6" s="408"/>
      <c r="C6" s="408"/>
      <c r="D6" s="409"/>
      <c r="E6" s="410">
        <f>E7+E17+E60+E62+E68+E99+E124+E130</f>
        <v>1575.3700000000001</v>
      </c>
      <c r="F6" s="410">
        <f aca="true" t="shared" si="0" ref="F6:R6">F7+F17+F60+F62+F68+F99+F124+F130</f>
        <v>1428.94</v>
      </c>
      <c r="G6" s="410">
        <f t="shared" si="0"/>
        <v>4602.68</v>
      </c>
      <c r="H6" s="410">
        <f t="shared" si="0"/>
        <v>484.42</v>
      </c>
      <c r="I6" s="410">
        <f t="shared" si="0"/>
        <v>1762.87</v>
      </c>
      <c r="J6" s="410">
        <f>J7+J17+J60+J62+J68+J99+J124+J130</f>
        <v>1002.3699999999999</v>
      </c>
      <c r="K6" s="410">
        <f>K7+K17+K60+K62+K68+K99+K124+K130</f>
        <v>11241.699999999999</v>
      </c>
      <c r="L6" s="410">
        <f t="shared" si="0"/>
        <v>31</v>
      </c>
      <c r="M6" s="410">
        <f t="shared" si="0"/>
        <v>31</v>
      </c>
      <c r="N6" s="410">
        <f t="shared" si="0"/>
        <v>57.5</v>
      </c>
      <c r="O6" s="410">
        <f t="shared" si="0"/>
        <v>425.34000000000003</v>
      </c>
      <c r="P6" s="410">
        <f t="shared" si="0"/>
        <v>0.25</v>
      </c>
      <c r="Q6" s="410">
        <f t="shared" si="0"/>
        <v>9</v>
      </c>
      <c r="R6" s="410">
        <f t="shared" si="0"/>
        <v>845.055</v>
      </c>
      <c r="S6" s="410">
        <f>S7+S17+S60+S62+S68+S99+S124+S130</f>
        <v>12086.755</v>
      </c>
      <c r="T6" s="410">
        <f aca="true" t="shared" si="1" ref="T6:AA6">T7+T17+T60+T62+T68+T99+T124+T130</f>
        <v>0</v>
      </c>
      <c r="U6" s="410">
        <f t="shared" si="1"/>
        <v>0</v>
      </c>
      <c r="V6" s="410">
        <f t="shared" si="1"/>
        <v>0</v>
      </c>
      <c r="W6" s="410">
        <f t="shared" si="1"/>
        <v>0</v>
      </c>
      <c r="X6" s="410">
        <f t="shared" si="1"/>
        <v>0</v>
      </c>
      <c r="Y6" s="410">
        <f t="shared" si="1"/>
        <v>0</v>
      </c>
      <c r="Z6" s="410">
        <f t="shared" si="1"/>
        <v>12043.304999999998</v>
      </c>
      <c r="AA6" s="410">
        <f t="shared" si="1"/>
        <v>6021.652499999999</v>
      </c>
    </row>
    <row r="7" spans="1:27" ht="19.5">
      <c r="A7" s="279" t="s">
        <v>266</v>
      </c>
      <c r="B7" s="279"/>
      <c r="C7" s="279"/>
      <c r="D7" s="280"/>
      <c r="E7" s="286">
        <f>SUM(E8+E9+E10)</f>
        <v>158.54000000000002</v>
      </c>
      <c r="F7" s="286">
        <f aca="true" t="shared" si="2" ref="F7:Q7">SUM(F8+F9+F10)</f>
        <v>0</v>
      </c>
      <c r="G7" s="286">
        <f t="shared" si="2"/>
        <v>1328.12</v>
      </c>
      <c r="H7" s="286">
        <f t="shared" si="2"/>
        <v>15.48</v>
      </c>
      <c r="I7" s="286">
        <f t="shared" si="2"/>
        <v>6</v>
      </c>
      <c r="J7" s="286">
        <f t="shared" si="2"/>
        <v>694.66</v>
      </c>
      <c r="K7" s="286">
        <f>SUM(K8+K9+K10)</f>
        <v>2202.8</v>
      </c>
      <c r="L7" s="286">
        <f t="shared" si="2"/>
        <v>0</v>
      </c>
      <c r="M7" s="286">
        <f t="shared" si="2"/>
        <v>0</v>
      </c>
      <c r="N7" s="286">
        <f t="shared" si="2"/>
        <v>0</v>
      </c>
      <c r="O7" s="286">
        <f t="shared" si="2"/>
        <v>23.25</v>
      </c>
      <c r="P7" s="286">
        <f t="shared" si="2"/>
        <v>0</v>
      </c>
      <c r="Q7" s="286">
        <f t="shared" si="2"/>
        <v>0</v>
      </c>
      <c r="R7" s="286">
        <f>SUM(R8+R9+R10)</f>
        <v>34.875</v>
      </c>
      <c r="S7" s="286">
        <f>SUM(S8+S9+S10)</f>
        <v>2237.675</v>
      </c>
      <c r="T7" s="286">
        <f aca="true" t="shared" si="3" ref="T7:AA7">SUM(T8+T9+T10)</f>
        <v>0</v>
      </c>
      <c r="U7" s="286">
        <f t="shared" si="3"/>
        <v>0</v>
      </c>
      <c r="V7" s="286">
        <f t="shared" si="3"/>
        <v>0</v>
      </c>
      <c r="W7" s="286">
        <f t="shared" si="3"/>
        <v>0</v>
      </c>
      <c r="X7" s="286">
        <f t="shared" si="3"/>
        <v>0</v>
      </c>
      <c r="Y7" s="286">
        <f t="shared" si="3"/>
        <v>0</v>
      </c>
      <c r="Z7" s="286">
        <f t="shared" si="3"/>
        <v>2237.675</v>
      </c>
      <c r="AA7" s="286">
        <f t="shared" si="3"/>
        <v>1118.8375</v>
      </c>
    </row>
    <row r="8" spans="1:27" ht="19.5">
      <c r="A8" s="281"/>
      <c r="B8" s="266" t="s">
        <v>205</v>
      </c>
      <c r="C8" s="266"/>
      <c r="D8" s="272"/>
      <c r="E8" s="287">
        <f>31.14+127.4</f>
        <v>158.54000000000002</v>
      </c>
      <c r="F8" s="287"/>
      <c r="G8" s="287">
        <v>241.9</v>
      </c>
      <c r="H8" s="287">
        <v>6.22</v>
      </c>
      <c r="I8" s="287">
        <v>6</v>
      </c>
      <c r="J8" s="287">
        <v>15</v>
      </c>
      <c r="K8" s="287">
        <f>SUM(E8:J8)</f>
        <v>427.6600000000001</v>
      </c>
      <c r="L8" s="287"/>
      <c r="M8" s="287"/>
      <c r="N8" s="287"/>
      <c r="O8" s="287"/>
      <c r="P8" s="287"/>
      <c r="Q8" s="287"/>
      <c r="R8" s="288">
        <f>SUM(L8:Q8)*1.5</f>
        <v>0</v>
      </c>
      <c r="S8" s="288">
        <f>SUM(E8+F8+G8+H8+I8+J8+R8)</f>
        <v>427.6600000000001</v>
      </c>
      <c r="T8" s="287"/>
      <c r="U8" s="287"/>
      <c r="V8" s="287"/>
      <c r="W8" s="287"/>
      <c r="X8" s="288">
        <f>SUM(U8:W8)*1.5</f>
        <v>0</v>
      </c>
      <c r="Y8" s="288">
        <f>T8+X8</f>
        <v>0</v>
      </c>
      <c r="Z8" s="288">
        <f>S8+Y8</f>
        <v>427.6600000000001</v>
      </c>
      <c r="AA8" s="288">
        <f>Z8/2</f>
        <v>213.83000000000004</v>
      </c>
    </row>
    <row r="9" spans="1:27" ht="19.5">
      <c r="A9" s="281"/>
      <c r="B9" s="266" t="s">
        <v>206</v>
      </c>
      <c r="C9" s="266"/>
      <c r="D9" s="272"/>
      <c r="E9" s="287"/>
      <c r="F9" s="287"/>
      <c r="G9" s="287">
        <v>294.01</v>
      </c>
      <c r="H9" s="287">
        <f>3.11+1.52</f>
        <v>4.63</v>
      </c>
      <c r="I9" s="287"/>
      <c r="J9" s="287">
        <f>103.17+103.17</f>
        <v>206.34</v>
      </c>
      <c r="K9" s="287">
        <f>SUM(E9:J9)</f>
        <v>504.98</v>
      </c>
      <c r="L9" s="287"/>
      <c r="M9" s="287"/>
      <c r="N9" s="287"/>
      <c r="O9" s="287"/>
      <c r="P9" s="287"/>
      <c r="Q9" s="287"/>
      <c r="R9" s="288">
        <f>SUM(L9:Q9)*1.5</f>
        <v>0</v>
      </c>
      <c r="S9" s="288">
        <f>SUM(E9+F9+G9+H9+I9+J9+R9)</f>
        <v>504.98</v>
      </c>
      <c r="T9" s="287"/>
      <c r="U9" s="287"/>
      <c r="V9" s="287"/>
      <c r="W9" s="287"/>
      <c r="X9" s="288">
        <f>SUM(U9:W9)*1.5</f>
        <v>0</v>
      </c>
      <c r="Y9" s="288">
        <f>T9+X9</f>
        <v>0</v>
      </c>
      <c r="Z9" s="288">
        <f>S9+Y9</f>
        <v>504.98</v>
      </c>
      <c r="AA9" s="288">
        <f>Z9/2</f>
        <v>252.49</v>
      </c>
    </row>
    <row r="10" spans="1:27" ht="19.5">
      <c r="A10" s="281"/>
      <c r="B10" s="266" t="s">
        <v>207</v>
      </c>
      <c r="C10" s="266"/>
      <c r="D10" s="272"/>
      <c r="E10" s="289">
        <f>SUM(E11:E14)</f>
        <v>0</v>
      </c>
      <c r="F10" s="289">
        <f aca="true" t="shared" si="4" ref="F10:Q10">SUM(F11:F14)</f>
        <v>0</v>
      </c>
      <c r="G10" s="289">
        <f t="shared" si="4"/>
        <v>792.21</v>
      </c>
      <c r="H10" s="289">
        <f t="shared" si="4"/>
        <v>4.63</v>
      </c>
      <c r="I10" s="289">
        <f t="shared" si="4"/>
        <v>0</v>
      </c>
      <c r="J10" s="289">
        <f t="shared" si="4"/>
        <v>473.32</v>
      </c>
      <c r="K10" s="289">
        <f t="shared" si="4"/>
        <v>1270.1599999999999</v>
      </c>
      <c r="L10" s="289">
        <f t="shared" si="4"/>
        <v>0</v>
      </c>
      <c r="M10" s="289">
        <f t="shared" si="4"/>
        <v>0</v>
      </c>
      <c r="N10" s="289">
        <f t="shared" si="4"/>
        <v>0</v>
      </c>
      <c r="O10" s="289">
        <f t="shared" si="4"/>
        <v>23.25</v>
      </c>
      <c r="P10" s="289">
        <f t="shared" si="4"/>
        <v>0</v>
      </c>
      <c r="Q10" s="289">
        <f t="shared" si="4"/>
        <v>0</v>
      </c>
      <c r="R10" s="289">
        <f>SUM(R11:R14)</f>
        <v>34.875</v>
      </c>
      <c r="S10" s="289">
        <f>SUM(S11:S14)</f>
        <v>1305.0349999999999</v>
      </c>
      <c r="T10" s="289">
        <f aca="true" t="shared" si="5" ref="T10:AA10">SUM(T11:T14)</f>
        <v>0</v>
      </c>
      <c r="U10" s="289">
        <f t="shared" si="5"/>
        <v>0</v>
      </c>
      <c r="V10" s="289">
        <f t="shared" si="5"/>
        <v>0</v>
      </c>
      <c r="W10" s="289">
        <f t="shared" si="5"/>
        <v>0</v>
      </c>
      <c r="X10" s="289">
        <f t="shared" si="5"/>
        <v>0</v>
      </c>
      <c r="Y10" s="289">
        <f t="shared" si="5"/>
        <v>0</v>
      </c>
      <c r="Z10" s="289">
        <f t="shared" si="5"/>
        <v>1305.0349999999999</v>
      </c>
      <c r="AA10" s="289">
        <f t="shared" si="5"/>
        <v>652.5174999999999</v>
      </c>
    </row>
    <row r="11" spans="1:27" ht="19.5">
      <c r="A11" s="281"/>
      <c r="B11" s="267"/>
      <c r="C11" s="267"/>
      <c r="D11" s="273" t="s">
        <v>201</v>
      </c>
      <c r="E11" s="290"/>
      <c r="F11" s="290"/>
      <c r="G11" s="290">
        <v>754.04</v>
      </c>
      <c r="H11" s="290">
        <f>3.11+1.52</f>
        <v>4.63</v>
      </c>
      <c r="I11" s="290"/>
      <c r="J11" s="290">
        <f>236.66+236.66</f>
        <v>473.32</v>
      </c>
      <c r="K11" s="290">
        <f>SUM(E11:J11)</f>
        <v>1231.99</v>
      </c>
      <c r="L11" s="287"/>
      <c r="M11" s="287"/>
      <c r="N11" s="287"/>
      <c r="O11" s="287"/>
      <c r="P11" s="287"/>
      <c r="Q11" s="287"/>
      <c r="R11" s="288">
        <f>SUM(L11:Q11)*1.5</f>
        <v>0</v>
      </c>
      <c r="S11" s="288">
        <f>SUM(E11+R11+F11+G11+H11+I11+J11)</f>
        <v>1231.99</v>
      </c>
      <c r="T11" s="291"/>
      <c r="U11" s="287"/>
      <c r="V11" s="287"/>
      <c r="W11" s="287"/>
      <c r="X11" s="288">
        <f>SUM(U11:W11)*1.5</f>
        <v>0</v>
      </c>
      <c r="Y11" s="288">
        <f>T11+X11</f>
        <v>0</v>
      </c>
      <c r="Z11" s="288">
        <f>S11+Y11</f>
        <v>1231.99</v>
      </c>
      <c r="AA11" s="288">
        <f>Z11/2</f>
        <v>615.995</v>
      </c>
    </row>
    <row r="12" spans="1:27" ht="19.5">
      <c r="A12" s="281"/>
      <c r="B12" s="267"/>
      <c r="C12" s="267"/>
      <c r="D12" s="273" t="s">
        <v>202</v>
      </c>
      <c r="E12" s="289"/>
      <c r="F12" s="289"/>
      <c r="G12" s="289">
        <v>15.33</v>
      </c>
      <c r="H12" s="289"/>
      <c r="I12" s="289"/>
      <c r="J12" s="289"/>
      <c r="K12" s="290">
        <f>SUM(E12:J12)</f>
        <v>15.33</v>
      </c>
      <c r="L12" s="287"/>
      <c r="M12" s="287"/>
      <c r="N12" s="287"/>
      <c r="O12" s="287"/>
      <c r="P12" s="287"/>
      <c r="Q12" s="287"/>
      <c r="R12" s="288">
        <f>SUM(L12:Q12)*1.5</f>
        <v>0</v>
      </c>
      <c r="S12" s="288">
        <f>SUM(E12+R12+F12+G12+H12+I12+J12)</f>
        <v>15.33</v>
      </c>
      <c r="T12" s="291"/>
      <c r="U12" s="287"/>
      <c r="V12" s="287"/>
      <c r="W12" s="287"/>
      <c r="X12" s="288">
        <f>SUM(U12:W12)*1.5</f>
        <v>0</v>
      </c>
      <c r="Y12" s="288">
        <f>T12+X12</f>
        <v>0</v>
      </c>
      <c r="Z12" s="288">
        <f>S12+Y12</f>
        <v>15.33</v>
      </c>
      <c r="AA12" s="288">
        <f>Z12/2</f>
        <v>7.665</v>
      </c>
    </row>
    <row r="13" spans="1:27" ht="19.5">
      <c r="A13" s="281"/>
      <c r="B13" s="267"/>
      <c r="C13" s="267"/>
      <c r="D13" s="273" t="s">
        <v>203</v>
      </c>
      <c r="E13" s="290"/>
      <c r="F13" s="290"/>
      <c r="G13" s="290"/>
      <c r="H13" s="290"/>
      <c r="I13" s="290"/>
      <c r="J13" s="290"/>
      <c r="K13" s="290">
        <f>SUM(E13:J13)</f>
        <v>0</v>
      </c>
      <c r="L13" s="287"/>
      <c r="M13" s="287"/>
      <c r="N13" s="287"/>
      <c r="O13" s="287"/>
      <c r="P13" s="287"/>
      <c r="Q13" s="287"/>
      <c r="R13" s="288">
        <f>SUM(L13:Q13)*1.5</f>
        <v>0</v>
      </c>
      <c r="S13" s="288">
        <f>SUM(E13+R13+F13+G13+H13+I13+J13)</f>
        <v>0</v>
      </c>
      <c r="T13" s="291"/>
      <c r="U13" s="287"/>
      <c r="V13" s="287"/>
      <c r="W13" s="287"/>
      <c r="X13" s="288">
        <f>SUM(U13:W13)*1.5</f>
        <v>0</v>
      </c>
      <c r="Y13" s="288">
        <f>T13+X13</f>
        <v>0</v>
      </c>
      <c r="Z13" s="288">
        <f>S13+Y13</f>
        <v>0</v>
      </c>
      <c r="AA13" s="288">
        <f>Z13/2</f>
        <v>0</v>
      </c>
    </row>
    <row r="14" spans="1:27" ht="19.5">
      <c r="A14" s="281"/>
      <c r="B14" s="267"/>
      <c r="C14" s="267"/>
      <c r="D14" s="273" t="s">
        <v>204</v>
      </c>
      <c r="E14" s="289"/>
      <c r="F14" s="289"/>
      <c r="G14" s="289">
        <v>22.84</v>
      </c>
      <c r="H14" s="289"/>
      <c r="I14" s="289"/>
      <c r="J14" s="289"/>
      <c r="K14" s="290">
        <f>SUM(E14:J14)</f>
        <v>22.84</v>
      </c>
      <c r="L14" s="287"/>
      <c r="M14" s="287"/>
      <c r="N14" s="287"/>
      <c r="O14" s="287">
        <f>5.75+5.75+5.75+6</f>
        <v>23.25</v>
      </c>
      <c r="P14" s="287"/>
      <c r="Q14" s="287"/>
      <c r="R14" s="288">
        <f>SUM(L14:Q14)*1.5</f>
        <v>34.875</v>
      </c>
      <c r="S14" s="288">
        <f>SUM(E14+R14+F14+G14+H14+I14+J14)</f>
        <v>57.715</v>
      </c>
      <c r="T14" s="291"/>
      <c r="U14" s="287"/>
      <c r="V14" s="287"/>
      <c r="W14" s="287"/>
      <c r="X14" s="288">
        <f>SUM(U14:W14)*1.5</f>
        <v>0</v>
      </c>
      <c r="Y14" s="288">
        <f>T14+X14</f>
        <v>0</v>
      </c>
      <c r="Z14" s="288">
        <f>S14+Y14</f>
        <v>57.715</v>
      </c>
      <c r="AA14" s="288">
        <f>Z14/2</f>
        <v>28.8575</v>
      </c>
    </row>
    <row r="15" spans="1:27" ht="19.5">
      <c r="A15" s="311"/>
      <c r="B15" s="312"/>
      <c r="C15" s="312"/>
      <c r="D15" s="313" t="s">
        <v>197</v>
      </c>
      <c r="E15" s="314"/>
      <c r="F15" s="314"/>
      <c r="G15" s="314"/>
      <c r="H15" s="314"/>
      <c r="I15" s="314"/>
      <c r="J15" s="314"/>
      <c r="K15" s="314">
        <f>SUM(E15:J15)</f>
        <v>0</v>
      </c>
      <c r="L15" s="315"/>
      <c r="M15" s="315"/>
      <c r="N15" s="315"/>
      <c r="O15" s="315">
        <v>9.5</v>
      </c>
      <c r="P15" s="315"/>
      <c r="Q15" s="315"/>
      <c r="R15" s="315">
        <f>SUM(L15:Q15)*1.5</f>
        <v>14.25</v>
      </c>
      <c r="S15" s="315">
        <f>SUM(E15+R15+F15+G15+H15+I15+J15)</f>
        <v>14.25</v>
      </c>
      <c r="T15" s="317"/>
      <c r="U15" s="315"/>
      <c r="V15" s="315"/>
      <c r="W15" s="315"/>
      <c r="X15" s="316">
        <f>SUM(U15:W15)*1.5</f>
        <v>0</v>
      </c>
      <c r="Y15" s="316">
        <f>T15+X15</f>
        <v>0</v>
      </c>
      <c r="Z15" s="316">
        <f>S15+Y15</f>
        <v>14.25</v>
      </c>
      <c r="AA15" s="316">
        <f>Z15/2</f>
        <v>7.125</v>
      </c>
    </row>
    <row r="16" spans="1:27" ht="19.5" hidden="1">
      <c r="A16" s="267" t="s">
        <v>24</v>
      </c>
      <c r="B16" s="267"/>
      <c r="C16" s="267"/>
      <c r="D16" s="273"/>
      <c r="E16" s="289"/>
      <c r="F16" s="289"/>
      <c r="G16" s="289"/>
      <c r="H16" s="289"/>
      <c r="I16" s="289"/>
      <c r="J16" s="289"/>
      <c r="K16" s="289"/>
      <c r="L16" s="287"/>
      <c r="M16" s="287"/>
      <c r="N16" s="287"/>
      <c r="O16" s="287"/>
      <c r="P16" s="287"/>
      <c r="Q16" s="287"/>
      <c r="R16" s="288"/>
      <c r="S16" s="288"/>
      <c r="T16" s="291"/>
      <c r="U16" s="287"/>
      <c r="V16" s="287"/>
      <c r="W16" s="287"/>
      <c r="X16" s="288"/>
      <c r="Y16" s="288"/>
      <c r="Z16" s="288"/>
      <c r="AA16" s="288"/>
    </row>
    <row r="17" spans="1:27" ht="19.5">
      <c r="A17" s="279" t="s">
        <v>267</v>
      </c>
      <c r="B17" s="279"/>
      <c r="C17" s="279"/>
      <c r="D17" s="280"/>
      <c r="E17" s="286">
        <f>SUM(E18+E45+E55)</f>
        <v>34.28</v>
      </c>
      <c r="F17" s="286">
        <f aca="true" t="shared" si="6" ref="F17:Q17">SUM(F18+F45+F55)</f>
        <v>695.6800000000001</v>
      </c>
      <c r="G17" s="286">
        <f t="shared" si="6"/>
        <v>772.44</v>
      </c>
      <c r="H17" s="286">
        <f t="shared" si="6"/>
        <v>36.16</v>
      </c>
      <c r="I17" s="286">
        <f t="shared" si="6"/>
        <v>4</v>
      </c>
      <c r="J17" s="286">
        <f t="shared" si="6"/>
        <v>0</v>
      </c>
      <c r="K17" s="286">
        <f t="shared" si="6"/>
        <v>1542.5600000000002</v>
      </c>
      <c r="L17" s="286">
        <f t="shared" si="6"/>
        <v>31</v>
      </c>
      <c r="M17" s="286">
        <f t="shared" si="6"/>
        <v>31</v>
      </c>
      <c r="N17" s="286">
        <f t="shared" si="6"/>
        <v>41.08</v>
      </c>
      <c r="O17" s="286">
        <f t="shared" si="6"/>
        <v>350.59000000000003</v>
      </c>
      <c r="P17" s="286">
        <f t="shared" si="6"/>
        <v>0</v>
      </c>
      <c r="Q17" s="286">
        <f t="shared" si="6"/>
        <v>9</v>
      </c>
      <c r="R17" s="286">
        <f>SUM(R18+R45+R55)</f>
        <v>694.005</v>
      </c>
      <c r="S17" s="286">
        <f>SUM(S18+S45+S55)</f>
        <v>2236.565</v>
      </c>
      <c r="T17" s="286">
        <f aca="true" t="shared" si="7" ref="T17:AA17">SUM(T18+T45+T55)</f>
        <v>0</v>
      </c>
      <c r="U17" s="286">
        <f t="shared" si="7"/>
        <v>0</v>
      </c>
      <c r="V17" s="286">
        <f t="shared" si="7"/>
        <v>0</v>
      </c>
      <c r="W17" s="286">
        <f t="shared" si="7"/>
        <v>0</v>
      </c>
      <c r="X17" s="286">
        <f t="shared" si="7"/>
        <v>0</v>
      </c>
      <c r="Y17" s="286">
        <f t="shared" si="7"/>
        <v>0</v>
      </c>
      <c r="Z17" s="286">
        <f t="shared" si="7"/>
        <v>2236.565</v>
      </c>
      <c r="AA17" s="286">
        <f t="shared" si="7"/>
        <v>1118.2825</v>
      </c>
    </row>
    <row r="18" spans="1:27" ht="19.5">
      <c r="A18" s="266"/>
      <c r="B18" s="264" t="s">
        <v>167</v>
      </c>
      <c r="C18" s="266"/>
      <c r="D18" s="272"/>
      <c r="E18" s="289">
        <f>SUM(E19+E25+E30+E35+E39+E44)</f>
        <v>18.17</v>
      </c>
      <c r="F18" s="289">
        <f aca="true" t="shared" si="8" ref="F18:Q18">SUM(F19+F25+F30+F35+F39+F44)</f>
        <v>615.95</v>
      </c>
      <c r="G18" s="289">
        <f t="shared" si="8"/>
        <v>641.0600000000001</v>
      </c>
      <c r="H18" s="289">
        <f t="shared" si="8"/>
        <v>36.16</v>
      </c>
      <c r="I18" s="289">
        <f t="shared" si="8"/>
        <v>4</v>
      </c>
      <c r="J18" s="289">
        <f t="shared" si="8"/>
        <v>0</v>
      </c>
      <c r="K18" s="289">
        <f t="shared" si="8"/>
        <v>1315.3400000000001</v>
      </c>
      <c r="L18" s="289">
        <f t="shared" si="8"/>
        <v>0</v>
      </c>
      <c r="M18" s="289">
        <f t="shared" si="8"/>
        <v>0</v>
      </c>
      <c r="N18" s="289">
        <f t="shared" si="8"/>
        <v>41.08</v>
      </c>
      <c r="O18" s="289">
        <f t="shared" si="8"/>
        <v>337.09000000000003</v>
      </c>
      <c r="P18" s="289">
        <f t="shared" si="8"/>
        <v>0</v>
      </c>
      <c r="Q18" s="289">
        <f t="shared" si="8"/>
        <v>9</v>
      </c>
      <c r="R18" s="289">
        <f>SUM(R19+R25+R30+R35+R39+R44)</f>
        <v>580.755</v>
      </c>
      <c r="S18" s="289">
        <f>SUM(S19+S25+S30+S35+S39+S44)</f>
        <v>1896.0950000000003</v>
      </c>
      <c r="T18" s="289">
        <f aca="true" t="shared" si="9" ref="T18:AA18">SUM(T19+T25+T30+T35+T39+T44)</f>
        <v>0</v>
      </c>
      <c r="U18" s="289">
        <f t="shared" si="9"/>
        <v>0</v>
      </c>
      <c r="V18" s="289">
        <f t="shared" si="9"/>
        <v>0</v>
      </c>
      <c r="W18" s="289">
        <f t="shared" si="9"/>
        <v>0</v>
      </c>
      <c r="X18" s="289">
        <f t="shared" si="9"/>
        <v>0</v>
      </c>
      <c r="Y18" s="289">
        <f t="shared" si="9"/>
        <v>0</v>
      </c>
      <c r="Z18" s="289">
        <f t="shared" si="9"/>
        <v>1896.0950000000003</v>
      </c>
      <c r="AA18" s="289">
        <f t="shared" si="9"/>
        <v>948.0475000000001</v>
      </c>
    </row>
    <row r="19" spans="1:27" ht="19.5">
      <c r="A19" s="281"/>
      <c r="B19" s="268"/>
      <c r="C19" s="264" t="s">
        <v>168</v>
      </c>
      <c r="D19" s="282"/>
      <c r="E19" s="292">
        <f aca="true" t="shared" si="10" ref="E19:R19">SUM(E20:E23)</f>
        <v>0</v>
      </c>
      <c r="F19" s="292">
        <f t="shared" si="10"/>
        <v>75.17</v>
      </c>
      <c r="G19" s="292">
        <f t="shared" si="10"/>
        <v>54.17</v>
      </c>
      <c r="H19" s="292">
        <f t="shared" si="10"/>
        <v>0</v>
      </c>
      <c r="I19" s="292">
        <f t="shared" si="10"/>
        <v>0</v>
      </c>
      <c r="J19" s="292">
        <f t="shared" si="10"/>
        <v>0</v>
      </c>
      <c r="K19" s="292">
        <f t="shared" si="10"/>
        <v>129.34</v>
      </c>
      <c r="L19" s="292">
        <f t="shared" si="10"/>
        <v>0</v>
      </c>
      <c r="M19" s="292">
        <f t="shared" si="10"/>
        <v>0</v>
      </c>
      <c r="N19" s="292">
        <f t="shared" si="10"/>
        <v>12.33</v>
      </c>
      <c r="O19" s="292">
        <f t="shared" si="10"/>
        <v>85.92</v>
      </c>
      <c r="P19" s="292">
        <f t="shared" si="10"/>
        <v>0</v>
      </c>
      <c r="Q19" s="292">
        <f t="shared" si="10"/>
        <v>0</v>
      </c>
      <c r="R19" s="292">
        <f t="shared" si="10"/>
        <v>147.375</v>
      </c>
      <c r="S19" s="292">
        <f>SUM(S20:S23)</f>
        <v>276.71500000000003</v>
      </c>
      <c r="T19" s="292">
        <f aca="true" t="shared" si="11" ref="T19:AA19">SUM(T20:T23)</f>
        <v>0</v>
      </c>
      <c r="U19" s="292">
        <f t="shared" si="11"/>
        <v>0</v>
      </c>
      <c r="V19" s="292">
        <f t="shared" si="11"/>
        <v>0</v>
      </c>
      <c r="W19" s="292">
        <f t="shared" si="11"/>
        <v>0</v>
      </c>
      <c r="X19" s="292">
        <f t="shared" si="11"/>
        <v>0</v>
      </c>
      <c r="Y19" s="292">
        <f t="shared" si="11"/>
        <v>0</v>
      </c>
      <c r="Z19" s="292">
        <f t="shared" si="11"/>
        <v>276.71500000000003</v>
      </c>
      <c r="AA19" s="292">
        <f t="shared" si="11"/>
        <v>138.35750000000002</v>
      </c>
    </row>
    <row r="20" spans="1:27" ht="19.5">
      <c r="A20" s="281"/>
      <c r="B20" s="283"/>
      <c r="C20" s="283"/>
      <c r="D20" s="274" t="s">
        <v>243</v>
      </c>
      <c r="E20" s="290"/>
      <c r="F20" s="290"/>
      <c r="G20" s="290">
        <v>54.17</v>
      </c>
      <c r="H20" s="290"/>
      <c r="I20" s="290"/>
      <c r="J20" s="290"/>
      <c r="K20" s="290">
        <f>SUM(E20:J20)</f>
        <v>54.17</v>
      </c>
      <c r="L20" s="288"/>
      <c r="M20" s="288"/>
      <c r="N20" s="288"/>
      <c r="O20" s="288"/>
      <c r="P20" s="288"/>
      <c r="Q20" s="288"/>
      <c r="R20" s="288">
        <f>SUM(L20:Q20)*1.5</f>
        <v>0</v>
      </c>
      <c r="S20" s="288">
        <f>E20+F20+G20+H20+I20+J20+R20</f>
        <v>54.17</v>
      </c>
      <c r="T20" s="288"/>
      <c r="U20" s="288"/>
      <c r="V20" s="288"/>
      <c r="W20" s="288"/>
      <c r="X20" s="288">
        <f>SUM(U20:W20)*1.5</f>
        <v>0</v>
      </c>
      <c r="Y20" s="287">
        <f>T20+X20</f>
        <v>0</v>
      </c>
      <c r="Z20" s="288">
        <f>S20+Y20</f>
        <v>54.17</v>
      </c>
      <c r="AA20" s="288">
        <f>Z20/2</f>
        <v>27.085</v>
      </c>
    </row>
    <row r="21" spans="1:27" ht="19.5">
      <c r="A21" s="281"/>
      <c r="B21" s="283"/>
      <c r="C21" s="283"/>
      <c r="D21" s="274" t="s">
        <v>244</v>
      </c>
      <c r="E21" s="292"/>
      <c r="F21" s="292"/>
      <c r="G21" s="292"/>
      <c r="H21" s="292"/>
      <c r="I21" s="292"/>
      <c r="J21" s="292"/>
      <c r="K21" s="290">
        <f>SUM(E21:J21)</f>
        <v>0</v>
      </c>
      <c r="L21" s="288"/>
      <c r="M21" s="288"/>
      <c r="N21" s="290">
        <v>2.25</v>
      </c>
      <c r="O21" s="290">
        <v>64.75</v>
      </c>
      <c r="P21" s="288"/>
      <c r="Q21" s="288"/>
      <c r="R21" s="288">
        <f>SUM(L21:Q21)*1.5</f>
        <v>100.5</v>
      </c>
      <c r="S21" s="288">
        <f>SUM(+F21++G21+H21+I21+J21+E21+R21)</f>
        <v>100.5</v>
      </c>
      <c r="T21" s="288"/>
      <c r="U21" s="288"/>
      <c r="V21" s="288"/>
      <c r="W21" s="288"/>
      <c r="X21" s="288">
        <f>SUM(U21:W21)*1.5</f>
        <v>0</v>
      </c>
      <c r="Y21" s="287">
        <f>T21+X21</f>
        <v>0</v>
      </c>
      <c r="Z21" s="288">
        <f>S21+Y21</f>
        <v>100.5</v>
      </c>
      <c r="AA21" s="288">
        <f>Z21/2</f>
        <v>50.25</v>
      </c>
    </row>
    <row r="22" spans="1:27" ht="19.5">
      <c r="A22" s="281"/>
      <c r="B22" s="283"/>
      <c r="C22" s="283"/>
      <c r="D22" s="274" t="s">
        <v>245</v>
      </c>
      <c r="E22" s="292"/>
      <c r="F22" s="292"/>
      <c r="G22" s="292"/>
      <c r="H22" s="292"/>
      <c r="I22" s="292"/>
      <c r="J22" s="292"/>
      <c r="K22" s="290">
        <f>SUM(E22:J22)</f>
        <v>0</v>
      </c>
      <c r="L22" s="288"/>
      <c r="M22" s="288"/>
      <c r="N22" s="290">
        <f>1.5+1.5+1.5+0.83+1.5</f>
        <v>6.83</v>
      </c>
      <c r="O22" s="290">
        <f>4.75+4.75+4.75+2.17+4.75</f>
        <v>21.17</v>
      </c>
      <c r="P22" s="288"/>
      <c r="Q22" s="288"/>
      <c r="R22" s="288">
        <f>SUM(L22:Q22)*1.5</f>
        <v>42</v>
      </c>
      <c r="S22" s="288">
        <f>SUM(+F22++G22+H22+I22+J22+E22+R22)</f>
        <v>42</v>
      </c>
      <c r="T22" s="288"/>
      <c r="U22" s="288"/>
      <c r="V22" s="288"/>
      <c r="W22" s="288"/>
      <c r="X22" s="288">
        <f>SUM(U22:W22)*1.5</f>
        <v>0</v>
      </c>
      <c r="Y22" s="287">
        <f>T22+X22</f>
        <v>0</v>
      </c>
      <c r="Z22" s="288">
        <f>S22+Y22</f>
        <v>42</v>
      </c>
      <c r="AA22" s="288">
        <f>Z22/2</f>
        <v>21</v>
      </c>
    </row>
    <row r="23" spans="1:27" ht="19.5">
      <c r="A23" s="329"/>
      <c r="B23" s="330"/>
      <c r="C23" s="330"/>
      <c r="D23" s="331" t="s">
        <v>242</v>
      </c>
      <c r="E23" s="332"/>
      <c r="F23" s="332">
        <f>7.67+61.67+5.83</f>
        <v>75.17</v>
      </c>
      <c r="G23" s="332"/>
      <c r="H23" s="332"/>
      <c r="I23" s="332"/>
      <c r="J23" s="332"/>
      <c r="K23" s="332">
        <f>SUM(E23:J23)</f>
        <v>75.17</v>
      </c>
      <c r="L23" s="332"/>
      <c r="M23" s="332"/>
      <c r="N23" s="333">
        <v>3.25</v>
      </c>
      <c r="O23" s="333"/>
      <c r="P23" s="333"/>
      <c r="Q23" s="333"/>
      <c r="R23" s="333">
        <f>SUM(L23:Q23)*1.5</f>
        <v>4.875</v>
      </c>
      <c r="S23" s="333">
        <f>SUM(+F23++G23+H23+I23+J23+E23+R23)</f>
        <v>80.045</v>
      </c>
      <c r="T23" s="333"/>
      <c r="U23" s="333"/>
      <c r="V23" s="333"/>
      <c r="W23" s="333"/>
      <c r="X23" s="333">
        <f>SUM(U23:W23)*1.5</f>
        <v>0</v>
      </c>
      <c r="Y23" s="332">
        <f>T23+X23</f>
        <v>0</v>
      </c>
      <c r="Z23" s="333">
        <f>S23+Y23</f>
        <v>80.045</v>
      </c>
      <c r="AA23" s="333">
        <f>Z23/2</f>
        <v>40.0225</v>
      </c>
    </row>
    <row r="24" spans="1:27" ht="19.5">
      <c r="A24" s="311"/>
      <c r="B24" s="318"/>
      <c r="C24" s="318"/>
      <c r="D24" s="319" t="s">
        <v>197</v>
      </c>
      <c r="E24" s="320"/>
      <c r="F24" s="320"/>
      <c r="G24" s="320"/>
      <c r="H24" s="320"/>
      <c r="I24" s="320"/>
      <c r="J24" s="320"/>
      <c r="K24" s="320">
        <f>SUM(E24:J24)</f>
        <v>0</v>
      </c>
      <c r="L24" s="316"/>
      <c r="M24" s="316"/>
      <c r="N24" s="316">
        <v>6</v>
      </c>
      <c r="O24" s="316">
        <v>23</v>
      </c>
      <c r="P24" s="316"/>
      <c r="Q24" s="316"/>
      <c r="R24" s="316">
        <f>SUM(L24:Q24)*1.5</f>
        <v>43.5</v>
      </c>
      <c r="S24" s="316">
        <f>SUM(+F24++G24+H24+I24+J24+E24+R24)</f>
        <v>43.5</v>
      </c>
      <c r="T24" s="316"/>
      <c r="U24" s="316"/>
      <c r="V24" s="316"/>
      <c r="W24" s="316"/>
      <c r="X24" s="316">
        <f>SUM(U24:W24)*1.5</f>
        <v>0</v>
      </c>
      <c r="Y24" s="315">
        <f>T24+X24</f>
        <v>0</v>
      </c>
      <c r="Z24" s="316">
        <f>S24+Y24</f>
        <v>43.5</v>
      </c>
      <c r="AA24" s="316">
        <f>Z24/2</f>
        <v>21.75</v>
      </c>
    </row>
    <row r="25" spans="1:27" ht="19.5">
      <c r="A25" s="281"/>
      <c r="B25" s="268"/>
      <c r="C25" s="264" t="s">
        <v>173</v>
      </c>
      <c r="D25" s="282"/>
      <c r="E25" s="289">
        <f>SUM(E26:E27)+E29</f>
        <v>0</v>
      </c>
      <c r="F25" s="289">
        <f aca="true" t="shared" si="12" ref="F25:Q25">SUM(F26:F27)+F29</f>
        <v>297.56</v>
      </c>
      <c r="G25" s="289">
        <f t="shared" si="12"/>
        <v>0</v>
      </c>
      <c r="H25" s="289">
        <f t="shared" si="12"/>
        <v>0</v>
      </c>
      <c r="I25" s="289">
        <f t="shared" si="12"/>
        <v>0</v>
      </c>
      <c r="J25" s="289">
        <f t="shared" si="12"/>
        <v>0</v>
      </c>
      <c r="K25" s="289">
        <f t="shared" si="12"/>
        <v>297.56</v>
      </c>
      <c r="L25" s="289">
        <f t="shared" si="12"/>
        <v>0</v>
      </c>
      <c r="M25" s="289">
        <f t="shared" si="12"/>
        <v>0</v>
      </c>
      <c r="N25" s="289">
        <f t="shared" si="12"/>
        <v>2</v>
      </c>
      <c r="O25" s="289">
        <f t="shared" si="12"/>
        <v>28</v>
      </c>
      <c r="P25" s="289">
        <f t="shared" si="12"/>
        <v>0</v>
      </c>
      <c r="Q25" s="289">
        <f t="shared" si="12"/>
        <v>0</v>
      </c>
      <c r="R25" s="289">
        <f>SUM(R26:R27)+R29</f>
        <v>45</v>
      </c>
      <c r="S25" s="289">
        <f>SUM(S26:S27)+S29</f>
        <v>342.56</v>
      </c>
      <c r="T25" s="289">
        <f aca="true" t="shared" si="13" ref="T25:AA25">SUM(T26:T27)+T29</f>
        <v>0</v>
      </c>
      <c r="U25" s="289">
        <f t="shared" si="13"/>
        <v>0</v>
      </c>
      <c r="V25" s="289">
        <f t="shared" si="13"/>
        <v>0</v>
      </c>
      <c r="W25" s="289">
        <f t="shared" si="13"/>
        <v>0</v>
      </c>
      <c r="X25" s="289">
        <f t="shared" si="13"/>
        <v>0</v>
      </c>
      <c r="Y25" s="289">
        <f t="shared" si="13"/>
        <v>0</v>
      </c>
      <c r="Z25" s="289">
        <f t="shared" si="13"/>
        <v>342.56</v>
      </c>
      <c r="AA25" s="289">
        <f t="shared" si="13"/>
        <v>171.28</v>
      </c>
    </row>
    <row r="26" spans="1:27" ht="19.5">
      <c r="A26" s="281"/>
      <c r="B26" s="283"/>
      <c r="C26" s="266"/>
      <c r="D26" s="274" t="s">
        <v>247</v>
      </c>
      <c r="E26" s="289"/>
      <c r="F26" s="289"/>
      <c r="G26" s="289"/>
      <c r="H26" s="289"/>
      <c r="I26" s="289"/>
      <c r="J26" s="289"/>
      <c r="K26" s="289">
        <f>SUM(E26:J26)</f>
        <v>0</v>
      </c>
      <c r="L26" s="287"/>
      <c r="M26" s="287"/>
      <c r="N26" s="287">
        <f>0.5+0.5+0.5+0.25</f>
        <v>1.75</v>
      </c>
      <c r="O26" s="287">
        <f>7+7.75+7</f>
        <v>21.75</v>
      </c>
      <c r="P26" s="287"/>
      <c r="Q26" s="287"/>
      <c r="R26" s="288">
        <f>SUM(L26:Q26)*1.5</f>
        <v>35.25</v>
      </c>
      <c r="S26" s="288">
        <f>SUM(E26+F26+G26+H26+I26+J26+R26)</f>
        <v>35.25</v>
      </c>
      <c r="T26" s="287"/>
      <c r="U26" s="287"/>
      <c r="V26" s="287"/>
      <c r="W26" s="287"/>
      <c r="X26" s="288">
        <f>SUM(U26:W26)*1.5</f>
        <v>0</v>
      </c>
      <c r="Y26" s="287">
        <f>T26+X26</f>
        <v>0</v>
      </c>
      <c r="Z26" s="293">
        <f>S26+Y26</f>
        <v>35.25</v>
      </c>
      <c r="AA26" s="293">
        <f>Z26/2</f>
        <v>17.625</v>
      </c>
    </row>
    <row r="27" spans="1:27" ht="19.5">
      <c r="A27" s="329"/>
      <c r="B27" s="330"/>
      <c r="C27" s="334"/>
      <c r="D27" s="331" t="s">
        <v>242</v>
      </c>
      <c r="E27" s="332"/>
      <c r="F27" s="332">
        <f>148.84+10.33+35+43+2+58.39</f>
        <v>297.56</v>
      </c>
      <c r="G27" s="332"/>
      <c r="H27" s="332"/>
      <c r="I27" s="332"/>
      <c r="J27" s="332"/>
      <c r="K27" s="332">
        <f>SUM(E27:J27)</f>
        <v>297.56</v>
      </c>
      <c r="L27" s="332"/>
      <c r="M27" s="332"/>
      <c r="N27" s="332">
        <v>0.25</v>
      </c>
      <c r="O27" s="332">
        <v>6.25</v>
      </c>
      <c r="P27" s="332"/>
      <c r="Q27" s="332"/>
      <c r="R27" s="333">
        <f>SUM(L27:Q27)*1.5</f>
        <v>9.75</v>
      </c>
      <c r="S27" s="333">
        <f>SUM(E27+F27+G27+H27+I27+J27+R27)</f>
        <v>307.31</v>
      </c>
      <c r="T27" s="332"/>
      <c r="U27" s="332"/>
      <c r="V27" s="332"/>
      <c r="W27" s="332"/>
      <c r="X27" s="333">
        <f>SUM(U27:W27)*1.5</f>
        <v>0</v>
      </c>
      <c r="Y27" s="332">
        <f>T27+X27</f>
        <v>0</v>
      </c>
      <c r="Z27" s="335">
        <f>S27+Y27</f>
        <v>307.31</v>
      </c>
      <c r="AA27" s="335">
        <f>Z27/2</f>
        <v>153.655</v>
      </c>
    </row>
    <row r="28" spans="1:27" ht="19.5">
      <c r="A28" s="311"/>
      <c r="B28" s="318"/>
      <c r="C28" s="321"/>
      <c r="D28" s="319" t="s">
        <v>197</v>
      </c>
      <c r="E28" s="314"/>
      <c r="F28" s="314"/>
      <c r="G28" s="314"/>
      <c r="H28" s="314"/>
      <c r="I28" s="314"/>
      <c r="J28" s="314"/>
      <c r="K28" s="314">
        <f>SUM(E28:J28)</f>
        <v>0</v>
      </c>
      <c r="L28" s="315"/>
      <c r="M28" s="315"/>
      <c r="N28" s="315">
        <v>1</v>
      </c>
      <c r="O28" s="315">
        <v>0.5</v>
      </c>
      <c r="P28" s="315"/>
      <c r="Q28" s="315"/>
      <c r="R28" s="316">
        <f>SUM(L28:Q28)*1.5</f>
        <v>2.25</v>
      </c>
      <c r="S28" s="316">
        <f>SUM(E28+F28+G28+H28+I28+J28+R28)</f>
        <v>2.25</v>
      </c>
      <c r="T28" s="315"/>
      <c r="U28" s="315"/>
      <c r="V28" s="315"/>
      <c r="W28" s="315"/>
      <c r="X28" s="316">
        <f>SUM(U28:W28)*1.5</f>
        <v>0</v>
      </c>
      <c r="Y28" s="315">
        <f>T28+X28</f>
        <v>0</v>
      </c>
      <c r="Z28" s="322">
        <f>S28+Y28</f>
        <v>2.25</v>
      </c>
      <c r="AA28" s="322">
        <f>Z28/2</f>
        <v>1.125</v>
      </c>
    </row>
    <row r="29" spans="1:27" ht="19.5">
      <c r="A29" s="281"/>
      <c r="B29" s="283"/>
      <c r="C29" s="266"/>
      <c r="D29" s="273" t="s">
        <v>246</v>
      </c>
      <c r="E29" s="289"/>
      <c r="F29" s="289"/>
      <c r="G29" s="289"/>
      <c r="H29" s="289"/>
      <c r="I29" s="289"/>
      <c r="J29" s="289"/>
      <c r="K29" s="289">
        <f>SUM(E29:J29)</f>
        <v>0</v>
      </c>
      <c r="L29" s="287"/>
      <c r="M29" s="287"/>
      <c r="N29" s="287"/>
      <c r="O29" s="287"/>
      <c r="P29" s="287"/>
      <c r="Q29" s="287"/>
      <c r="R29" s="288">
        <f>SUM(L29:Q29)*1.5</f>
        <v>0</v>
      </c>
      <c r="S29" s="288">
        <f>SUM(E29+F29+G29+H29+I29+J29+R29)</f>
        <v>0</v>
      </c>
      <c r="T29" s="287"/>
      <c r="U29" s="287"/>
      <c r="V29" s="287"/>
      <c r="W29" s="287"/>
      <c r="X29" s="288">
        <f>SUM(U29:W29)*1.5</f>
        <v>0</v>
      </c>
      <c r="Y29" s="287">
        <f>T29+X29</f>
        <v>0</v>
      </c>
      <c r="Z29" s="293">
        <f>S29+Y29</f>
        <v>0</v>
      </c>
      <c r="AA29" s="293">
        <f>Z29/2</f>
        <v>0</v>
      </c>
    </row>
    <row r="30" spans="1:27" ht="19.5">
      <c r="A30" s="281"/>
      <c r="B30" s="268"/>
      <c r="C30" s="264" t="s">
        <v>169</v>
      </c>
      <c r="D30" s="282"/>
      <c r="E30" s="289">
        <f>SUM(E31:E33)</f>
        <v>18.17</v>
      </c>
      <c r="F30" s="289">
        <f aca="true" t="shared" si="14" ref="F30:Q30">SUM(F31:F33)</f>
        <v>150.84</v>
      </c>
      <c r="G30" s="289">
        <f t="shared" si="14"/>
        <v>76.17</v>
      </c>
      <c r="H30" s="289">
        <f t="shared" si="14"/>
        <v>36.16</v>
      </c>
      <c r="I30" s="289">
        <f t="shared" si="14"/>
        <v>4</v>
      </c>
      <c r="J30" s="289">
        <f t="shared" si="14"/>
        <v>0</v>
      </c>
      <c r="K30" s="289">
        <f t="shared" si="14"/>
        <v>285.34000000000003</v>
      </c>
      <c r="L30" s="289">
        <f t="shared" si="14"/>
        <v>0</v>
      </c>
      <c r="M30" s="289">
        <f t="shared" si="14"/>
        <v>0</v>
      </c>
      <c r="N30" s="289">
        <f t="shared" si="14"/>
        <v>5</v>
      </c>
      <c r="O30" s="289">
        <f t="shared" si="14"/>
        <v>5.17</v>
      </c>
      <c r="P30" s="289">
        <f t="shared" si="14"/>
        <v>0</v>
      </c>
      <c r="Q30" s="289">
        <f t="shared" si="14"/>
        <v>0</v>
      </c>
      <c r="R30" s="289">
        <f>SUM(R31:R33)</f>
        <v>15.254999999999999</v>
      </c>
      <c r="S30" s="289">
        <f>SUM(S31:S33)</f>
        <v>300.595</v>
      </c>
      <c r="T30" s="289">
        <f aca="true" t="shared" si="15" ref="T30:AA30">SUM(T31:T33)</f>
        <v>0</v>
      </c>
      <c r="U30" s="289">
        <f t="shared" si="15"/>
        <v>0</v>
      </c>
      <c r="V30" s="289">
        <f t="shared" si="15"/>
        <v>0</v>
      </c>
      <c r="W30" s="289">
        <f t="shared" si="15"/>
        <v>0</v>
      </c>
      <c r="X30" s="289">
        <f t="shared" si="15"/>
        <v>0</v>
      </c>
      <c r="Y30" s="289">
        <f t="shared" si="15"/>
        <v>0</v>
      </c>
      <c r="Z30" s="289">
        <f t="shared" si="15"/>
        <v>300.595</v>
      </c>
      <c r="AA30" s="289">
        <f t="shared" si="15"/>
        <v>150.2975</v>
      </c>
    </row>
    <row r="31" spans="1:27" ht="19.5">
      <c r="A31" s="281"/>
      <c r="B31" s="283"/>
      <c r="C31" s="266"/>
      <c r="D31" s="274" t="s">
        <v>248</v>
      </c>
      <c r="E31" s="290">
        <v>18.17</v>
      </c>
      <c r="F31" s="290"/>
      <c r="G31" s="290">
        <v>76.17</v>
      </c>
      <c r="H31" s="290">
        <f>36.16</f>
        <v>36.16</v>
      </c>
      <c r="I31" s="290"/>
      <c r="J31" s="290"/>
      <c r="K31" s="290">
        <f>SUM(E31:J31)</f>
        <v>130.5</v>
      </c>
      <c r="L31" s="290"/>
      <c r="M31" s="290"/>
      <c r="N31" s="290"/>
      <c r="O31" s="290"/>
      <c r="P31" s="287"/>
      <c r="Q31" s="287"/>
      <c r="R31" s="288">
        <f>SUM(L31:Q31)*1.5</f>
        <v>0</v>
      </c>
      <c r="S31" s="288">
        <f>SUM(E31+F31+G31+H31+I31+J31+R31)</f>
        <v>130.5</v>
      </c>
      <c r="T31" s="287"/>
      <c r="U31" s="287"/>
      <c r="V31" s="287"/>
      <c r="W31" s="287"/>
      <c r="X31" s="288">
        <f>SUM(U31:W31)*1.5</f>
        <v>0</v>
      </c>
      <c r="Y31" s="287">
        <f>T31+X31</f>
        <v>0</v>
      </c>
      <c r="Z31" s="293">
        <f>S31+Y31</f>
        <v>130.5</v>
      </c>
      <c r="AA31" s="293">
        <f>Z31/2</f>
        <v>65.25</v>
      </c>
    </row>
    <row r="32" spans="1:27" ht="19.5">
      <c r="A32" s="281"/>
      <c r="B32" s="283"/>
      <c r="C32" s="266"/>
      <c r="D32" s="274" t="s">
        <v>249</v>
      </c>
      <c r="E32" s="289"/>
      <c r="F32" s="289"/>
      <c r="G32" s="289"/>
      <c r="H32" s="289"/>
      <c r="I32" s="289"/>
      <c r="J32" s="289"/>
      <c r="K32" s="290">
        <f>SUM(E32:J32)</f>
        <v>0</v>
      </c>
      <c r="L32" s="287"/>
      <c r="M32" s="287"/>
      <c r="N32" s="294">
        <f>0.75+1.25+0.75+1.25+1</f>
        <v>5</v>
      </c>
      <c r="O32" s="294"/>
      <c r="P32" s="287"/>
      <c r="Q32" s="287"/>
      <c r="R32" s="288">
        <f>SUM(L32:Q32)*1.5</f>
        <v>7.5</v>
      </c>
      <c r="S32" s="288">
        <f>SUM(E32+F32+G32+H32+I32+J32+R32)</f>
        <v>7.5</v>
      </c>
      <c r="T32" s="287"/>
      <c r="U32" s="287"/>
      <c r="V32" s="287"/>
      <c r="W32" s="287"/>
      <c r="X32" s="288">
        <f>SUM(U32:W32)*1.5</f>
        <v>0</v>
      </c>
      <c r="Y32" s="287">
        <f>T32+X32</f>
        <v>0</v>
      </c>
      <c r="Z32" s="293">
        <f>S32+Y32</f>
        <v>7.5</v>
      </c>
      <c r="AA32" s="293">
        <f>Z32/2</f>
        <v>3.75</v>
      </c>
    </row>
    <row r="33" spans="1:27" ht="19.5">
      <c r="A33" s="329"/>
      <c r="B33" s="330"/>
      <c r="C33" s="334"/>
      <c r="D33" s="331" t="s">
        <v>242</v>
      </c>
      <c r="E33" s="336"/>
      <c r="F33" s="336">
        <f>57.67+7.67+85.5</f>
        <v>150.84</v>
      </c>
      <c r="G33" s="336"/>
      <c r="H33" s="336"/>
      <c r="I33" s="336">
        <v>4</v>
      </c>
      <c r="J33" s="336"/>
      <c r="K33" s="336">
        <f>SUM(E33:J33)</f>
        <v>154.84</v>
      </c>
      <c r="L33" s="336"/>
      <c r="M33" s="336"/>
      <c r="N33" s="332"/>
      <c r="O33" s="332">
        <f>3.5+1.67</f>
        <v>5.17</v>
      </c>
      <c r="P33" s="332"/>
      <c r="Q33" s="332"/>
      <c r="R33" s="333">
        <f>SUM(L33:Q33)*1.5</f>
        <v>7.755</v>
      </c>
      <c r="S33" s="333">
        <f>SUM(E33+F33+G33+H33+I33+J33+R33)</f>
        <v>162.595</v>
      </c>
      <c r="T33" s="332"/>
      <c r="U33" s="332"/>
      <c r="V33" s="332"/>
      <c r="W33" s="332"/>
      <c r="X33" s="333">
        <f>SUM(U33:W33)*1.5</f>
        <v>0</v>
      </c>
      <c r="Y33" s="332">
        <f>T33+X33</f>
        <v>0</v>
      </c>
      <c r="Z33" s="335">
        <f>S33+Y33</f>
        <v>162.595</v>
      </c>
      <c r="AA33" s="335">
        <f>Z33/2</f>
        <v>81.2975</v>
      </c>
    </row>
    <row r="34" spans="1:27" ht="19.5">
      <c r="A34" s="311"/>
      <c r="B34" s="318"/>
      <c r="C34" s="321"/>
      <c r="D34" s="319" t="s">
        <v>197</v>
      </c>
      <c r="E34" s="314"/>
      <c r="F34" s="314"/>
      <c r="G34" s="314"/>
      <c r="H34" s="314"/>
      <c r="I34" s="314"/>
      <c r="J34" s="314"/>
      <c r="K34" s="314">
        <f>SUM(E34:J34)</f>
        <v>0</v>
      </c>
      <c r="L34" s="315"/>
      <c r="M34" s="315"/>
      <c r="N34" s="315">
        <v>4</v>
      </c>
      <c r="O34" s="315"/>
      <c r="P34" s="315"/>
      <c r="Q34" s="315"/>
      <c r="R34" s="316">
        <f>SUM(L34:Q34)*1.5</f>
        <v>6</v>
      </c>
      <c r="S34" s="316">
        <f>SUM(E34+F34+G34+H34+I34+J34+R34)</f>
        <v>6</v>
      </c>
      <c r="T34" s="315"/>
      <c r="U34" s="315"/>
      <c r="V34" s="315"/>
      <c r="W34" s="315"/>
      <c r="X34" s="316">
        <f>SUM(U34:W34)*1.5</f>
        <v>0</v>
      </c>
      <c r="Y34" s="315">
        <f>T34+X34</f>
        <v>0</v>
      </c>
      <c r="Z34" s="322">
        <f>S34+Y34</f>
        <v>6</v>
      </c>
      <c r="AA34" s="322">
        <f>Z34/2</f>
        <v>3</v>
      </c>
    </row>
    <row r="35" spans="1:27" ht="19.5">
      <c r="A35" s="281"/>
      <c r="B35" s="268"/>
      <c r="C35" s="264" t="s">
        <v>170</v>
      </c>
      <c r="D35" s="282"/>
      <c r="E35" s="289">
        <f>SUM(E36:E37)</f>
        <v>0</v>
      </c>
      <c r="F35" s="289">
        <f aca="true" t="shared" si="16" ref="F35:Q35">SUM(F36:F37)</f>
        <v>62.83</v>
      </c>
      <c r="G35" s="289">
        <f t="shared" si="16"/>
        <v>220.62</v>
      </c>
      <c r="H35" s="289">
        <f t="shared" si="16"/>
        <v>0</v>
      </c>
      <c r="I35" s="289">
        <f t="shared" si="16"/>
        <v>0</v>
      </c>
      <c r="J35" s="289">
        <f t="shared" si="16"/>
        <v>0</v>
      </c>
      <c r="K35" s="289">
        <f t="shared" si="16"/>
        <v>283.45</v>
      </c>
      <c r="L35" s="289">
        <f t="shared" si="16"/>
        <v>0</v>
      </c>
      <c r="M35" s="289">
        <f t="shared" si="16"/>
        <v>0</v>
      </c>
      <c r="N35" s="289">
        <f t="shared" si="16"/>
        <v>6.75</v>
      </c>
      <c r="O35" s="289">
        <f t="shared" si="16"/>
        <v>187</v>
      </c>
      <c r="P35" s="289">
        <f t="shared" si="16"/>
        <v>0</v>
      </c>
      <c r="Q35" s="289">
        <f t="shared" si="16"/>
        <v>9</v>
      </c>
      <c r="R35" s="289">
        <f>SUM(R36:R37)</f>
        <v>304.125</v>
      </c>
      <c r="S35" s="289">
        <f>SUM(S36:S37)</f>
        <v>587.5749999999999</v>
      </c>
      <c r="T35" s="289">
        <f aca="true" t="shared" si="17" ref="T35:AA35">SUM(T36:T37)</f>
        <v>0</v>
      </c>
      <c r="U35" s="289">
        <f t="shared" si="17"/>
        <v>0</v>
      </c>
      <c r="V35" s="289">
        <f t="shared" si="17"/>
        <v>0</v>
      </c>
      <c r="W35" s="289">
        <f t="shared" si="17"/>
        <v>0</v>
      </c>
      <c r="X35" s="289">
        <f t="shared" si="17"/>
        <v>0</v>
      </c>
      <c r="Y35" s="289">
        <f t="shared" si="17"/>
        <v>0</v>
      </c>
      <c r="Z35" s="289">
        <f t="shared" si="17"/>
        <v>587.5749999999999</v>
      </c>
      <c r="AA35" s="289">
        <f t="shared" si="17"/>
        <v>293.78749999999997</v>
      </c>
    </row>
    <row r="36" spans="1:27" ht="19.5">
      <c r="A36" s="281"/>
      <c r="B36" s="283"/>
      <c r="C36" s="266"/>
      <c r="D36" s="274" t="s">
        <v>253</v>
      </c>
      <c r="E36" s="290"/>
      <c r="F36" s="290"/>
      <c r="G36" s="290">
        <v>157.79</v>
      </c>
      <c r="H36" s="290"/>
      <c r="I36" s="290"/>
      <c r="J36" s="290"/>
      <c r="K36" s="290">
        <f>SUM(E36:J36)</f>
        <v>157.79</v>
      </c>
      <c r="L36" s="290"/>
      <c r="M36" s="290"/>
      <c r="N36" s="290">
        <f>2.25+2.25+2.25</f>
        <v>6.75</v>
      </c>
      <c r="O36" s="290">
        <v>187</v>
      </c>
      <c r="P36" s="287"/>
      <c r="Q36" s="287">
        <v>9</v>
      </c>
      <c r="R36" s="288">
        <f>SUM(L36:Q36)*1.5</f>
        <v>304.125</v>
      </c>
      <c r="S36" s="288">
        <f>SUM(E36+F36+G36+H36+I36+J36+R36)</f>
        <v>461.91499999999996</v>
      </c>
      <c r="T36" s="287"/>
      <c r="U36" s="287"/>
      <c r="V36" s="287"/>
      <c r="W36" s="287"/>
      <c r="X36" s="288">
        <f>SUM(U36:W36)*1.5</f>
        <v>0</v>
      </c>
      <c r="Y36" s="287">
        <f>T36+X36</f>
        <v>0</v>
      </c>
      <c r="Z36" s="293">
        <f>S36+Y36</f>
        <v>461.91499999999996</v>
      </c>
      <c r="AA36" s="293">
        <f>Z36/2</f>
        <v>230.95749999999998</v>
      </c>
    </row>
    <row r="37" spans="1:27" ht="19.5">
      <c r="A37" s="329"/>
      <c r="B37" s="330"/>
      <c r="C37" s="334"/>
      <c r="D37" s="331" t="s">
        <v>242</v>
      </c>
      <c r="E37" s="332"/>
      <c r="F37" s="332">
        <v>62.83</v>
      </c>
      <c r="G37" s="332">
        <v>62.83</v>
      </c>
      <c r="H37" s="332"/>
      <c r="I37" s="332"/>
      <c r="J37" s="332"/>
      <c r="K37" s="332">
        <f>SUM(E37:J37)</f>
        <v>125.66</v>
      </c>
      <c r="L37" s="332"/>
      <c r="M37" s="332"/>
      <c r="N37" s="332"/>
      <c r="O37" s="332"/>
      <c r="P37" s="332"/>
      <c r="Q37" s="332"/>
      <c r="R37" s="333">
        <f>SUM(L37:Q37)*1.5</f>
        <v>0</v>
      </c>
      <c r="S37" s="333">
        <f>SUM(E37+F37+G37+H37+I37+J37+R37)</f>
        <v>125.66</v>
      </c>
      <c r="T37" s="332"/>
      <c r="U37" s="332"/>
      <c r="V37" s="332"/>
      <c r="W37" s="332"/>
      <c r="X37" s="333">
        <f>SUM(U37:W37)*1.5</f>
        <v>0</v>
      </c>
      <c r="Y37" s="332">
        <f>T37+X37</f>
        <v>0</v>
      </c>
      <c r="Z37" s="335">
        <f>S37+Y37</f>
        <v>125.66</v>
      </c>
      <c r="AA37" s="335">
        <f>Z37/2</f>
        <v>62.83</v>
      </c>
    </row>
    <row r="38" spans="1:27" ht="19.5">
      <c r="A38" s="311"/>
      <c r="B38" s="318"/>
      <c r="C38" s="321"/>
      <c r="D38" s="319" t="s">
        <v>197</v>
      </c>
      <c r="E38" s="314"/>
      <c r="F38" s="314"/>
      <c r="G38" s="314"/>
      <c r="H38" s="314"/>
      <c r="I38" s="314"/>
      <c r="J38" s="314"/>
      <c r="K38" s="314">
        <f>SUM(E38:J38)</f>
        <v>0</v>
      </c>
      <c r="L38" s="315"/>
      <c r="M38" s="315"/>
      <c r="N38" s="315">
        <v>2</v>
      </c>
      <c r="O38" s="315"/>
      <c r="P38" s="315"/>
      <c r="Q38" s="315"/>
      <c r="R38" s="315">
        <f>SUM(L38:Q38)*1.5</f>
        <v>3</v>
      </c>
      <c r="S38" s="315">
        <f>SUM(E38+F38+G38+H38+I38+J38+R38)</f>
        <v>3</v>
      </c>
      <c r="T38" s="315"/>
      <c r="U38" s="315"/>
      <c r="V38" s="315"/>
      <c r="W38" s="315"/>
      <c r="X38" s="316">
        <f>SUM(U38:W38)*1.5</f>
        <v>0</v>
      </c>
      <c r="Y38" s="315">
        <f>T38+X38</f>
        <v>0</v>
      </c>
      <c r="Z38" s="322">
        <f>S38+Y38</f>
        <v>3</v>
      </c>
      <c r="AA38" s="322">
        <f>Z38/2</f>
        <v>1.5</v>
      </c>
    </row>
    <row r="39" spans="1:27" ht="19.5">
      <c r="A39" s="281"/>
      <c r="B39" s="268"/>
      <c r="C39" s="264" t="s">
        <v>171</v>
      </c>
      <c r="D39" s="282"/>
      <c r="E39" s="289">
        <f>SUM(E40+E41+E42)</f>
        <v>0</v>
      </c>
      <c r="F39" s="289">
        <f aca="true" t="shared" si="18" ref="F39:AA39">SUM(F40+F41+F42)</f>
        <v>29.55</v>
      </c>
      <c r="G39" s="289">
        <f t="shared" si="18"/>
        <v>177.44</v>
      </c>
      <c r="H39" s="289">
        <f t="shared" si="18"/>
        <v>0</v>
      </c>
      <c r="I39" s="289">
        <f t="shared" si="18"/>
        <v>0</v>
      </c>
      <c r="J39" s="289">
        <f t="shared" si="18"/>
        <v>0</v>
      </c>
      <c r="K39" s="289">
        <f t="shared" si="18"/>
        <v>206.99</v>
      </c>
      <c r="L39" s="289">
        <f t="shared" si="18"/>
        <v>0</v>
      </c>
      <c r="M39" s="289">
        <f t="shared" si="18"/>
        <v>0</v>
      </c>
      <c r="N39" s="289">
        <f t="shared" si="18"/>
        <v>15</v>
      </c>
      <c r="O39" s="289">
        <f t="shared" si="18"/>
        <v>31</v>
      </c>
      <c r="P39" s="289">
        <f t="shared" si="18"/>
        <v>0</v>
      </c>
      <c r="Q39" s="289">
        <f t="shared" si="18"/>
        <v>0</v>
      </c>
      <c r="R39" s="289">
        <f>SUM(R40+R41+R42)</f>
        <v>69</v>
      </c>
      <c r="S39" s="289">
        <f>SUM(S40+S41+S42)</f>
        <v>275.99</v>
      </c>
      <c r="T39" s="289">
        <f t="shared" si="18"/>
        <v>0</v>
      </c>
      <c r="U39" s="289">
        <f t="shared" si="18"/>
        <v>0</v>
      </c>
      <c r="V39" s="289">
        <f t="shared" si="18"/>
        <v>0</v>
      </c>
      <c r="W39" s="289">
        <f t="shared" si="18"/>
        <v>0</v>
      </c>
      <c r="X39" s="289">
        <f t="shared" si="18"/>
        <v>0</v>
      </c>
      <c r="Y39" s="289">
        <f t="shared" si="18"/>
        <v>0</v>
      </c>
      <c r="Z39" s="289">
        <f t="shared" si="18"/>
        <v>275.99</v>
      </c>
      <c r="AA39" s="289">
        <f t="shared" si="18"/>
        <v>137.995</v>
      </c>
    </row>
    <row r="40" spans="1:27" ht="19.5">
      <c r="A40" s="281"/>
      <c r="B40" s="283"/>
      <c r="C40" s="266"/>
      <c r="D40" s="274" t="s">
        <v>250</v>
      </c>
      <c r="E40" s="290"/>
      <c r="F40" s="290"/>
      <c r="G40" s="290">
        <v>121.44</v>
      </c>
      <c r="H40" s="290"/>
      <c r="I40" s="290"/>
      <c r="J40" s="290"/>
      <c r="K40" s="290">
        <f>SUM(E40:J40)</f>
        <v>121.44</v>
      </c>
      <c r="L40" s="290"/>
      <c r="M40" s="290"/>
      <c r="N40" s="290">
        <f>3.5+3.5+3.5+4.5</f>
        <v>15</v>
      </c>
      <c r="O40" s="290">
        <f>8.75+8.75+8.75+4.75</f>
        <v>31</v>
      </c>
      <c r="P40" s="287"/>
      <c r="Q40" s="287"/>
      <c r="R40" s="288">
        <f>SUM(L40:Q40)*1.5</f>
        <v>69</v>
      </c>
      <c r="S40" s="288">
        <f>SUM(E40+F40+G40+H40+I40+J40+R40)</f>
        <v>190.44</v>
      </c>
      <c r="T40" s="287"/>
      <c r="U40" s="287"/>
      <c r="V40" s="287"/>
      <c r="W40" s="287"/>
      <c r="X40" s="288">
        <f>SUM(U40:W40)*1.5</f>
        <v>0</v>
      </c>
      <c r="Y40" s="287">
        <f>T40+X40</f>
        <v>0</v>
      </c>
      <c r="Z40" s="293">
        <f>S40+Y40</f>
        <v>190.44</v>
      </c>
      <c r="AA40" s="293">
        <f>Z40/2</f>
        <v>95.22</v>
      </c>
    </row>
    <row r="41" spans="1:27" ht="19.5">
      <c r="A41" s="281"/>
      <c r="B41" s="283"/>
      <c r="C41" s="266"/>
      <c r="D41" s="274" t="s">
        <v>251</v>
      </c>
      <c r="E41" s="290"/>
      <c r="F41" s="290"/>
      <c r="G41" s="290">
        <v>56</v>
      </c>
      <c r="H41" s="290"/>
      <c r="I41" s="290"/>
      <c r="J41" s="290"/>
      <c r="K41" s="290">
        <f>SUM(E41:J41)</f>
        <v>56</v>
      </c>
      <c r="L41" s="287"/>
      <c r="M41" s="287"/>
      <c r="N41" s="287"/>
      <c r="O41" s="287"/>
      <c r="P41" s="287"/>
      <c r="Q41" s="287"/>
      <c r="R41" s="288">
        <f>SUM(L41:Q41)*1.5</f>
        <v>0</v>
      </c>
      <c r="S41" s="288">
        <f>SUM(E41+F41+G41+H41+I41+J41+R41)</f>
        <v>56</v>
      </c>
      <c r="T41" s="287"/>
      <c r="U41" s="287"/>
      <c r="V41" s="287"/>
      <c r="W41" s="287"/>
      <c r="X41" s="288">
        <f>SUM(U41:W41)*1.5</f>
        <v>0</v>
      </c>
      <c r="Y41" s="287">
        <f>T41+X41</f>
        <v>0</v>
      </c>
      <c r="Z41" s="293">
        <f>S41+Y41</f>
        <v>56</v>
      </c>
      <c r="AA41" s="293">
        <f>Z41/2</f>
        <v>28</v>
      </c>
    </row>
    <row r="42" spans="1:27" ht="19.5">
      <c r="A42" s="329"/>
      <c r="B42" s="330"/>
      <c r="C42" s="334"/>
      <c r="D42" s="331" t="s">
        <v>252</v>
      </c>
      <c r="E42" s="332"/>
      <c r="F42" s="332">
        <v>29.55</v>
      </c>
      <c r="G42" s="332"/>
      <c r="H42" s="332"/>
      <c r="I42" s="332"/>
      <c r="J42" s="332"/>
      <c r="K42" s="332">
        <f>SUM(E42:J42)</f>
        <v>29.55</v>
      </c>
      <c r="L42" s="332"/>
      <c r="M42" s="332"/>
      <c r="N42" s="332"/>
      <c r="O42" s="332"/>
      <c r="P42" s="332"/>
      <c r="Q42" s="332"/>
      <c r="R42" s="332">
        <f>SUM(L42:Q42)*1.5</f>
        <v>0</v>
      </c>
      <c r="S42" s="332">
        <f>SUM(E42+F42+G42+H42+I42+J42+R42)</f>
        <v>29.55</v>
      </c>
      <c r="T42" s="332"/>
      <c r="U42" s="332"/>
      <c r="V42" s="332"/>
      <c r="W42" s="332"/>
      <c r="X42" s="333">
        <f>SUM(U42:W42)*1.5</f>
        <v>0</v>
      </c>
      <c r="Y42" s="332">
        <f>T42+X42</f>
        <v>0</v>
      </c>
      <c r="Z42" s="335">
        <f>S42+Y42</f>
        <v>29.55</v>
      </c>
      <c r="AA42" s="335">
        <f>Z42/2</f>
        <v>14.775</v>
      </c>
    </row>
    <row r="43" spans="1:27" ht="19.5">
      <c r="A43" s="311"/>
      <c r="B43" s="318"/>
      <c r="C43" s="321"/>
      <c r="D43" s="319" t="s">
        <v>197</v>
      </c>
      <c r="E43" s="314"/>
      <c r="F43" s="314"/>
      <c r="G43" s="314"/>
      <c r="H43" s="314"/>
      <c r="I43" s="314"/>
      <c r="J43" s="314"/>
      <c r="K43" s="314">
        <f>SUM(E43:J43)</f>
        <v>0</v>
      </c>
      <c r="L43" s="315"/>
      <c r="M43" s="315"/>
      <c r="N43" s="315">
        <v>4.5</v>
      </c>
      <c r="O43" s="315">
        <v>9.5</v>
      </c>
      <c r="P43" s="315"/>
      <c r="Q43" s="315"/>
      <c r="R43" s="315">
        <f>SUM(L43:Q43)*1.5</f>
        <v>21</v>
      </c>
      <c r="S43" s="315">
        <f>SUM(E43+F43+G43+H43+I43+J43+R43)</f>
        <v>21</v>
      </c>
      <c r="T43" s="315"/>
      <c r="U43" s="315"/>
      <c r="V43" s="315"/>
      <c r="W43" s="315"/>
      <c r="X43" s="316">
        <f>SUM(U43:W43)*1.5</f>
        <v>0</v>
      </c>
      <c r="Y43" s="315">
        <f>T43+X43</f>
        <v>0</v>
      </c>
      <c r="Z43" s="322">
        <f>S43+Y43</f>
        <v>21</v>
      </c>
      <c r="AA43" s="322">
        <f>Z43/2</f>
        <v>10.5</v>
      </c>
    </row>
    <row r="44" spans="1:27" ht="19.5">
      <c r="A44" s="281"/>
      <c r="B44" s="268"/>
      <c r="C44" s="264" t="s">
        <v>172</v>
      </c>
      <c r="D44" s="282"/>
      <c r="E44" s="290"/>
      <c r="F44" s="290"/>
      <c r="G44" s="290">
        <v>112.66</v>
      </c>
      <c r="H44" s="290"/>
      <c r="I44" s="290"/>
      <c r="J44" s="290"/>
      <c r="K44" s="314">
        <f>SUM(E44:J44)</f>
        <v>112.66</v>
      </c>
      <c r="L44" s="287"/>
      <c r="M44" s="287"/>
      <c r="N44" s="287"/>
      <c r="O44" s="287"/>
      <c r="P44" s="287"/>
      <c r="Q44" s="287"/>
      <c r="R44" s="288">
        <f>SUM(L44:Q44)*1.5</f>
        <v>0</v>
      </c>
      <c r="S44" s="288">
        <f>SUM(E44+F44+G44+H44+I44+J44+R44)</f>
        <v>112.66</v>
      </c>
      <c r="T44" s="287"/>
      <c r="U44" s="287"/>
      <c r="V44" s="287"/>
      <c r="W44" s="287"/>
      <c r="X44" s="288">
        <f>SUM(U44:W44)*1.5</f>
        <v>0</v>
      </c>
      <c r="Y44" s="287">
        <f>T44+X44</f>
        <v>0</v>
      </c>
      <c r="Z44" s="293">
        <f>S44+Y44</f>
        <v>112.66</v>
      </c>
      <c r="AA44" s="293">
        <f>Z44/2</f>
        <v>56.33</v>
      </c>
    </row>
    <row r="45" spans="1:27" ht="19.5">
      <c r="A45" s="267"/>
      <c r="B45" s="265" t="s">
        <v>174</v>
      </c>
      <c r="C45" s="267"/>
      <c r="D45" s="273"/>
      <c r="E45" s="292">
        <f>SUM(E46+E50+E51+E52+E53+E54)</f>
        <v>16.11</v>
      </c>
      <c r="F45" s="292">
        <f aca="true" t="shared" si="19" ref="F45:Q45">SUM(F46+F50+F51+F52+F53+F54)</f>
        <v>22.5</v>
      </c>
      <c r="G45" s="292">
        <f t="shared" si="19"/>
        <v>93.16</v>
      </c>
      <c r="H45" s="292">
        <f t="shared" si="19"/>
        <v>0</v>
      </c>
      <c r="I45" s="292">
        <f t="shared" si="19"/>
        <v>0</v>
      </c>
      <c r="J45" s="292">
        <f t="shared" si="19"/>
        <v>0</v>
      </c>
      <c r="K45" s="292">
        <f t="shared" si="19"/>
        <v>131.76999999999998</v>
      </c>
      <c r="L45" s="292">
        <f t="shared" si="19"/>
        <v>0</v>
      </c>
      <c r="M45" s="292">
        <f t="shared" si="19"/>
        <v>0</v>
      </c>
      <c r="N45" s="292">
        <f t="shared" si="19"/>
        <v>0</v>
      </c>
      <c r="O45" s="292">
        <f t="shared" si="19"/>
        <v>13.5</v>
      </c>
      <c r="P45" s="292">
        <f t="shared" si="19"/>
        <v>0</v>
      </c>
      <c r="Q45" s="292">
        <f t="shared" si="19"/>
        <v>0</v>
      </c>
      <c r="R45" s="292">
        <f>SUM(R46+R50+R51+R52+R53+R54)</f>
        <v>20.25</v>
      </c>
      <c r="S45" s="292">
        <f>SUM(S46+S50+S51+S52+S53+S54)</f>
        <v>152.01999999999998</v>
      </c>
      <c r="T45" s="292">
        <f aca="true" t="shared" si="20" ref="T45:AA45">SUM(T46+T50+T51+T52+T53+T54)</f>
        <v>0</v>
      </c>
      <c r="U45" s="292">
        <f t="shared" si="20"/>
        <v>0</v>
      </c>
      <c r="V45" s="292">
        <f t="shared" si="20"/>
        <v>0</v>
      </c>
      <c r="W45" s="292">
        <f t="shared" si="20"/>
        <v>0</v>
      </c>
      <c r="X45" s="292">
        <f t="shared" si="20"/>
        <v>0</v>
      </c>
      <c r="Y45" s="292">
        <f t="shared" si="20"/>
        <v>0</v>
      </c>
      <c r="Z45" s="292">
        <f t="shared" si="20"/>
        <v>152.01999999999998</v>
      </c>
      <c r="AA45" s="292">
        <f t="shared" si="20"/>
        <v>76.00999999999999</v>
      </c>
    </row>
    <row r="46" spans="1:27" ht="19.5">
      <c r="A46" s="267"/>
      <c r="B46" s="269"/>
      <c r="C46" s="271" t="s">
        <v>175</v>
      </c>
      <c r="D46" s="284"/>
      <c r="E46" s="289">
        <f>SUM(E47:E48)</f>
        <v>16.11</v>
      </c>
      <c r="F46" s="289">
        <f aca="true" t="shared" si="21" ref="F46:Q46">SUM(F47:F48)</f>
        <v>18</v>
      </c>
      <c r="G46" s="289">
        <f t="shared" si="21"/>
        <v>93.16</v>
      </c>
      <c r="H46" s="289">
        <f t="shared" si="21"/>
        <v>0</v>
      </c>
      <c r="I46" s="289">
        <f t="shared" si="21"/>
        <v>0</v>
      </c>
      <c r="J46" s="289">
        <f t="shared" si="21"/>
        <v>0</v>
      </c>
      <c r="K46" s="289">
        <f t="shared" si="21"/>
        <v>127.27</v>
      </c>
      <c r="L46" s="289">
        <f t="shared" si="21"/>
        <v>0</v>
      </c>
      <c r="M46" s="289">
        <f t="shared" si="21"/>
        <v>0</v>
      </c>
      <c r="N46" s="289">
        <f t="shared" si="21"/>
        <v>0</v>
      </c>
      <c r="O46" s="289">
        <f t="shared" si="21"/>
        <v>13.5</v>
      </c>
      <c r="P46" s="289">
        <f t="shared" si="21"/>
        <v>0</v>
      </c>
      <c r="Q46" s="289">
        <f t="shared" si="21"/>
        <v>0</v>
      </c>
      <c r="R46" s="289">
        <f>SUM(R47:R48)</f>
        <v>20.25</v>
      </c>
      <c r="S46" s="289">
        <f>SUM(S47:S48)</f>
        <v>147.51999999999998</v>
      </c>
      <c r="T46" s="289">
        <f aca="true" t="shared" si="22" ref="T46:AA46">SUM(T47:T48)</f>
        <v>0</v>
      </c>
      <c r="U46" s="289">
        <f t="shared" si="22"/>
        <v>0</v>
      </c>
      <c r="V46" s="289">
        <f t="shared" si="22"/>
        <v>0</v>
      </c>
      <c r="W46" s="289">
        <f t="shared" si="22"/>
        <v>0</v>
      </c>
      <c r="X46" s="289">
        <f t="shared" si="22"/>
        <v>0</v>
      </c>
      <c r="Y46" s="289">
        <f t="shared" si="22"/>
        <v>0</v>
      </c>
      <c r="Z46" s="289">
        <f t="shared" si="22"/>
        <v>147.51999999999998</v>
      </c>
      <c r="AA46" s="289">
        <f t="shared" si="22"/>
        <v>73.75999999999999</v>
      </c>
    </row>
    <row r="47" spans="1:27" ht="19.5">
      <c r="A47" s="267"/>
      <c r="B47" s="269"/>
      <c r="C47" s="269"/>
      <c r="D47" s="274" t="s">
        <v>254</v>
      </c>
      <c r="E47" s="290">
        <v>16.11</v>
      </c>
      <c r="F47" s="290"/>
      <c r="G47" s="290">
        <v>93.16</v>
      </c>
      <c r="H47" s="290"/>
      <c r="I47" s="290"/>
      <c r="J47" s="290"/>
      <c r="K47" s="290">
        <f aca="true" t="shared" si="23" ref="K47:K54">SUM(E47:J47)</f>
        <v>109.27</v>
      </c>
      <c r="L47" s="287"/>
      <c r="M47" s="287"/>
      <c r="N47" s="287"/>
      <c r="O47" s="289">
        <f>4.5+4.5+4.5</f>
        <v>13.5</v>
      </c>
      <c r="P47" s="287"/>
      <c r="Q47" s="287"/>
      <c r="R47" s="287">
        <f aca="true" t="shared" si="24" ref="R47:R54">SUM(L47:Q47)*1.5</f>
        <v>20.25</v>
      </c>
      <c r="S47" s="287">
        <f aca="true" t="shared" si="25" ref="S47:S54">SUM(E47+F47+G47+H47+I47+J47+R47)</f>
        <v>129.51999999999998</v>
      </c>
      <c r="T47" s="287"/>
      <c r="U47" s="287"/>
      <c r="V47" s="287"/>
      <c r="W47" s="287"/>
      <c r="X47" s="288">
        <f aca="true" t="shared" si="26" ref="X47:X54">SUM(U47:W47)*1.5</f>
        <v>0</v>
      </c>
      <c r="Y47" s="293">
        <f>T47+X47</f>
        <v>0</v>
      </c>
      <c r="Z47" s="293">
        <f>S47+Y47</f>
        <v>129.51999999999998</v>
      </c>
      <c r="AA47" s="293">
        <f>Z47/2</f>
        <v>64.75999999999999</v>
      </c>
    </row>
    <row r="48" spans="1:27" ht="19.5">
      <c r="A48" s="337"/>
      <c r="B48" s="338"/>
      <c r="C48" s="338"/>
      <c r="D48" s="331" t="s">
        <v>242</v>
      </c>
      <c r="E48" s="332"/>
      <c r="F48" s="332">
        <v>18</v>
      </c>
      <c r="G48" s="332"/>
      <c r="H48" s="332"/>
      <c r="I48" s="332"/>
      <c r="J48" s="332"/>
      <c r="K48" s="332">
        <f t="shared" si="23"/>
        <v>18</v>
      </c>
      <c r="L48" s="332"/>
      <c r="M48" s="332"/>
      <c r="N48" s="332"/>
      <c r="O48" s="332"/>
      <c r="P48" s="332"/>
      <c r="Q48" s="332"/>
      <c r="R48" s="332">
        <f t="shared" si="24"/>
        <v>0</v>
      </c>
      <c r="S48" s="332">
        <f t="shared" si="25"/>
        <v>18</v>
      </c>
      <c r="T48" s="332"/>
      <c r="U48" s="332"/>
      <c r="V48" s="332"/>
      <c r="W48" s="332"/>
      <c r="X48" s="333">
        <f t="shared" si="26"/>
        <v>0</v>
      </c>
      <c r="Y48" s="335">
        <f aca="true" t="shared" si="27" ref="Y48:Y54">T48+X48</f>
        <v>0</v>
      </c>
      <c r="Z48" s="335">
        <f aca="true" t="shared" si="28" ref="Z48:Z54">S48+Y48</f>
        <v>18</v>
      </c>
      <c r="AA48" s="335">
        <f aca="true" t="shared" si="29" ref="AA48:AA54">Z48/2</f>
        <v>9</v>
      </c>
    </row>
    <row r="49" spans="1:27" ht="19.5">
      <c r="A49" s="312"/>
      <c r="B49" s="323"/>
      <c r="C49" s="323"/>
      <c r="D49" s="324" t="s">
        <v>197</v>
      </c>
      <c r="E49" s="315"/>
      <c r="F49" s="315"/>
      <c r="G49" s="315"/>
      <c r="H49" s="315"/>
      <c r="I49" s="315"/>
      <c r="J49" s="314"/>
      <c r="K49" s="314">
        <f t="shared" si="23"/>
        <v>0</v>
      </c>
      <c r="L49" s="314"/>
      <c r="M49" s="314"/>
      <c r="N49" s="315"/>
      <c r="O49" s="315">
        <v>7.5</v>
      </c>
      <c r="P49" s="315"/>
      <c r="Q49" s="315"/>
      <c r="R49" s="315">
        <f t="shared" si="24"/>
        <v>11.25</v>
      </c>
      <c r="S49" s="315">
        <f t="shared" si="25"/>
        <v>11.25</v>
      </c>
      <c r="T49" s="315"/>
      <c r="U49" s="315"/>
      <c r="V49" s="315"/>
      <c r="W49" s="315"/>
      <c r="X49" s="316">
        <f t="shared" si="26"/>
        <v>0</v>
      </c>
      <c r="Y49" s="322">
        <f t="shared" si="27"/>
        <v>0</v>
      </c>
      <c r="Z49" s="322">
        <f t="shared" si="28"/>
        <v>11.25</v>
      </c>
      <c r="AA49" s="322">
        <f t="shared" si="29"/>
        <v>5.625</v>
      </c>
    </row>
    <row r="50" spans="1:27" ht="19.5">
      <c r="A50" s="267"/>
      <c r="B50" s="269"/>
      <c r="C50" s="265" t="s">
        <v>176</v>
      </c>
      <c r="D50" s="282"/>
      <c r="E50" s="287"/>
      <c r="F50" s="287"/>
      <c r="G50" s="287"/>
      <c r="H50" s="287"/>
      <c r="I50" s="287"/>
      <c r="J50" s="289"/>
      <c r="K50" s="289">
        <f t="shared" si="23"/>
        <v>0</v>
      </c>
      <c r="L50" s="289"/>
      <c r="M50" s="289"/>
      <c r="N50" s="287"/>
      <c r="O50" s="287"/>
      <c r="P50" s="287"/>
      <c r="Q50" s="287"/>
      <c r="R50" s="288">
        <f t="shared" si="24"/>
        <v>0</v>
      </c>
      <c r="S50" s="293">
        <f t="shared" si="25"/>
        <v>0</v>
      </c>
      <c r="T50" s="287"/>
      <c r="U50" s="287"/>
      <c r="V50" s="287"/>
      <c r="W50" s="287"/>
      <c r="X50" s="288">
        <f t="shared" si="26"/>
        <v>0</v>
      </c>
      <c r="Y50" s="293">
        <f t="shared" si="27"/>
        <v>0</v>
      </c>
      <c r="Z50" s="293">
        <f t="shared" si="28"/>
        <v>0</v>
      </c>
      <c r="AA50" s="293">
        <f t="shared" si="29"/>
        <v>0</v>
      </c>
    </row>
    <row r="51" spans="1:27" ht="19.5">
      <c r="A51" s="267"/>
      <c r="B51" s="269"/>
      <c r="C51" s="265" t="s">
        <v>177</v>
      </c>
      <c r="D51" s="282"/>
      <c r="E51" s="287"/>
      <c r="F51" s="287"/>
      <c r="G51" s="287"/>
      <c r="H51" s="287"/>
      <c r="I51" s="287"/>
      <c r="J51" s="289"/>
      <c r="K51" s="289">
        <f t="shared" si="23"/>
        <v>0</v>
      </c>
      <c r="L51" s="289"/>
      <c r="M51" s="289"/>
      <c r="N51" s="287"/>
      <c r="O51" s="287"/>
      <c r="P51" s="287"/>
      <c r="Q51" s="287"/>
      <c r="R51" s="288">
        <f t="shared" si="24"/>
        <v>0</v>
      </c>
      <c r="S51" s="293">
        <f t="shared" si="25"/>
        <v>0</v>
      </c>
      <c r="T51" s="287"/>
      <c r="U51" s="287"/>
      <c r="V51" s="287"/>
      <c r="W51" s="287"/>
      <c r="X51" s="288">
        <f t="shared" si="26"/>
        <v>0</v>
      </c>
      <c r="Y51" s="293">
        <f t="shared" si="27"/>
        <v>0</v>
      </c>
      <c r="Z51" s="293">
        <f t="shared" si="28"/>
        <v>0</v>
      </c>
      <c r="AA51" s="293">
        <f t="shared" si="29"/>
        <v>0</v>
      </c>
    </row>
    <row r="52" spans="1:27" ht="19.5">
      <c r="A52" s="267"/>
      <c r="B52" s="269"/>
      <c r="C52" s="265" t="s">
        <v>260</v>
      </c>
      <c r="D52" s="282"/>
      <c r="E52" s="288"/>
      <c r="F52" s="288">
        <v>2</v>
      </c>
      <c r="G52" s="288"/>
      <c r="H52" s="288"/>
      <c r="I52" s="288"/>
      <c r="J52" s="292"/>
      <c r="K52" s="289">
        <f t="shared" si="23"/>
        <v>2</v>
      </c>
      <c r="L52" s="292"/>
      <c r="M52" s="292"/>
      <c r="N52" s="288"/>
      <c r="O52" s="288"/>
      <c r="P52" s="288"/>
      <c r="Q52" s="288"/>
      <c r="R52" s="288">
        <f t="shared" si="24"/>
        <v>0</v>
      </c>
      <c r="S52" s="293">
        <f t="shared" si="25"/>
        <v>2</v>
      </c>
      <c r="T52" s="288"/>
      <c r="U52" s="288"/>
      <c r="V52" s="288"/>
      <c r="W52" s="288"/>
      <c r="X52" s="288">
        <f t="shared" si="26"/>
        <v>0</v>
      </c>
      <c r="Y52" s="293">
        <f t="shared" si="27"/>
        <v>0</v>
      </c>
      <c r="Z52" s="293">
        <f t="shared" si="28"/>
        <v>2</v>
      </c>
      <c r="AA52" s="293">
        <f t="shared" si="29"/>
        <v>1</v>
      </c>
    </row>
    <row r="53" spans="1:27" ht="19.5">
      <c r="A53" s="267"/>
      <c r="B53" s="269"/>
      <c r="C53" s="265" t="s">
        <v>179</v>
      </c>
      <c r="D53" s="282"/>
      <c r="E53" s="287"/>
      <c r="F53" s="287">
        <v>2.5</v>
      </c>
      <c r="G53" s="287"/>
      <c r="H53" s="287"/>
      <c r="I53" s="287"/>
      <c r="J53" s="289"/>
      <c r="K53" s="289">
        <f t="shared" si="23"/>
        <v>2.5</v>
      </c>
      <c r="L53" s="289"/>
      <c r="M53" s="289"/>
      <c r="N53" s="287"/>
      <c r="O53" s="287"/>
      <c r="P53" s="287"/>
      <c r="Q53" s="287"/>
      <c r="R53" s="288">
        <f t="shared" si="24"/>
        <v>0</v>
      </c>
      <c r="S53" s="293">
        <f t="shared" si="25"/>
        <v>2.5</v>
      </c>
      <c r="T53" s="287"/>
      <c r="U53" s="287"/>
      <c r="V53" s="287"/>
      <c r="W53" s="287"/>
      <c r="X53" s="288">
        <f t="shared" si="26"/>
        <v>0</v>
      </c>
      <c r="Y53" s="293">
        <f t="shared" si="27"/>
        <v>0</v>
      </c>
      <c r="Z53" s="293">
        <f t="shared" si="28"/>
        <v>2.5</v>
      </c>
      <c r="AA53" s="293">
        <f t="shared" si="29"/>
        <v>1.25</v>
      </c>
    </row>
    <row r="54" spans="1:27" ht="19.5">
      <c r="A54" s="267"/>
      <c r="B54" s="269"/>
      <c r="C54" s="265" t="s">
        <v>180</v>
      </c>
      <c r="D54" s="282"/>
      <c r="E54" s="287"/>
      <c r="F54" s="287"/>
      <c r="G54" s="287"/>
      <c r="H54" s="287"/>
      <c r="I54" s="287"/>
      <c r="J54" s="289"/>
      <c r="K54" s="289">
        <f t="shared" si="23"/>
        <v>0</v>
      </c>
      <c r="L54" s="289"/>
      <c r="M54" s="289"/>
      <c r="N54" s="287"/>
      <c r="O54" s="287"/>
      <c r="P54" s="287"/>
      <c r="Q54" s="287"/>
      <c r="R54" s="288">
        <f t="shared" si="24"/>
        <v>0</v>
      </c>
      <c r="S54" s="293">
        <f t="shared" si="25"/>
        <v>0</v>
      </c>
      <c r="T54" s="287"/>
      <c r="U54" s="287"/>
      <c r="V54" s="287"/>
      <c r="W54" s="287"/>
      <c r="X54" s="288">
        <f t="shared" si="26"/>
        <v>0</v>
      </c>
      <c r="Y54" s="293">
        <f t="shared" si="27"/>
        <v>0</v>
      </c>
      <c r="Z54" s="293">
        <f t="shared" si="28"/>
        <v>0</v>
      </c>
      <c r="AA54" s="293">
        <f t="shared" si="29"/>
        <v>0</v>
      </c>
    </row>
    <row r="55" spans="1:27" ht="19.5">
      <c r="A55" s="267"/>
      <c r="B55" s="265" t="s">
        <v>181</v>
      </c>
      <c r="C55" s="267"/>
      <c r="D55" s="273"/>
      <c r="E55" s="289">
        <f>SUM(E56:E59)</f>
        <v>0</v>
      </c>
      <c r="F55" s="289">
        <f aca="true" t="shared" si="30" ref="F55:Q55">SUM(F56:F59)</f>
        <v>57.230000000000004</v>
      </c>
      <c r="G55" s="289">
        <f t="shared" si="30"/>
        <v>38.22</v>
      </c>
      <c r="H55" s="289">
        <f t="shared" si="30"/>
        <v>0</v>
      </c>
      <c r="I55" s="289">
        <f t="shared" si="30"/>
        <v>0</v>
      </c>
      <c r="J55" s="289">
        <f t="shared" si="30"/>
        <v>0</v>
      </c>
      <c r="K55" s="289">
        <f>SUM(K56:K59)</f>
        <v>95.45</v>
      </c>
      <c r="L55" s="289">
        <f t="shared" si="30"/>
        <v>31</v>
      </c>
      <c r="M55" s="289">
        <f t="shared" si="30"/>
        <v>31</v>
      </c>
      <c r="N55" s="289">
        <f t="shared" si="30"/>
        <v>0</v>
      </c>
      <c r="O55" s="289">
        <f t="shared" si="30"/>
        <v>0</v>
      </c>
      <c r="P55" s="289">
        <f t="shared" si="30"/>
        <v>0</v>
      </c>
      <c r="Q55" s="289">
        <f t="shared" si="30"/>
        <v>0</v>
      </c>
      <c r="R55" s="289">
        <f>SUM(R56:R59)</f>
        <v>93</v>
      </c>
      <c r="S55" s="289">
        <f>SUM(S56:S59)</f>
        <v>188.45</v>
      </c>
      <c r="T55" s="289">
        <f aca="true" t="shared" si="31" ref="T55:Z55">SUM(T56:T59)</f>
        <v>0</v>
      </c>
      <c r="U55" s="289">
        <f t="shared" si="31"/>
        <v>0</v>
      </c>
      <c r="V55" s="289">
        <f t="shared" si="31"/>
        <v>0</v>
      </c>
      <c r="W55" s="289">
        <f t="shared" si="31"/>
        <v>0</v>
      </c>
      <c r="X55" s="289">
        <f t="shared" si="31"/>
        <v>0</v>
      </c>
      <c r="Y55" s="289">
        <f t="shared" si="31"/>
        <v>0</v>
      </c>
      <c r="Z55" s="289">
        <f t="shared" si="31"/>
        <v>188.45</v>
      </c>
      <c r="AA55" s="289">
        <f>SUM(AA56:AA59)</f>
        <v>94.225</v>
      </c>
    </row>
    <row r="56" spans="1:27" ht="19.5">
      <c r="A56" s="267"/>
      <c r="B56" s="269"/>
      <c r="C56" s="269"/>
      <c r="D56" s="271" t="s">
        <v>279</v>
      </c>
      <c r="E56" s="289"/>
      <c r="F56" s="289">
        <v>48.56</v>
      </c>
      <c r="G56" s="289"/>
      <c r="H56" s="289"/>
      <c r="I56" s="289"/>
      <c r="J56" s="289"/>
      <c r="K56" s="289">
        <f>SUM(E56:J56)</f>
        <v>48.56</v>
      </c>
      <c r="L56" s="287">
        <v>31</v>
      </c>
      <c r="M56" s="287">
        <v>31</v>
      </c>
      <c r="N56" s="287"/>
      <c r="O56" s="287"/>
      <c r="P56" s="287"/>
      <c r="Q56" s="287"/>
      <c r="R56" s="288">
        <f>SUM(L56:Q56)*1.5</f>
        <v>93</v>
      </c>
      <c r="S56" s="293">
        <f>SUM(E56+F56+G56+H56+I56+J56+R56)</f>
        <v>141.56</v>
      </c>
      <c r="T56" s="287"/>
      <c r="U56" s="287"/>
      <c r="V56" s="287"/>
      <c r="W56" s="287"/>
      <c r="X56" s="288">
        <f>SUM(U56:W56)*1.5</f>
        <v>0</v>
      </c>
      <c r="Y56" s="293">
        <f>T56+X56</f>
        <v>0</v>
      </c>
      <c r="Z56" s="293">
        <f>S56+Y56</f>
        <v>141.56</v>
      </c>
      <c r="AA56" s="293">
        <f>Z56/2</f>
        <v>70.78</v>
      </c>
    </row>
    <row r="57" spans="1:27" ht="19.5">
      <c r="A57" s="267"/>
      <c r="B57" s="269"/>
      <c r="C57" s="269"/>
      <c r="D57" s="271" t="s">
        <v>182</v>
      </c>
      <c r="E57" s="292"/>
      <c r="F57" s="292"/>
      <c r="G57" s="292">
        <v>38.22</v>
      </c>
      <c r="H57" s="292"/>
      <c r="I57" s="292"/>
      <c r="J57" s="292"/>
      <c r="K57" s="289">
        <f>SUM(E57:J57)</f>
        <v>38.22</v>
      </c>
      <c r="L57" s="288"/>
      <c r="M57" s="288"/>
      <c r="N57" s="288"/>
      <c r="O57" s="288"/>
      <c r="P57" s="288"/>
      <c r="Q57" s="288"/>
      <c r="R57" s="288">
        <f>SUM(L57:Q57)*1.5</f>
        <v>0</v>
      </c>
      <c r="S57" s="293">
        <f>SUM(E57+F57+G57+H57+I57+J57+R57)</f>
        <v>38.22</v>
      </c>
      <c r="T57" s="288"/>
      <c r="U57" s="288"/>
      <c r="V57" s="288"/>
      <c r="W57" s="288"/>
      <c r="X57" s="288">
        <f>SUM(U57:W57)*1.5</f>
        <v>0</v>
      </c>
      <c r="Y57" s="293">
        <f>T57+X57</f>
        <v>0</v>
      </c>
      <c r="Z57" s="293">
        <f>S57+Y57</f>
        <v>38.22</v>
      </c>
      <c r="AA57" s="293">
        <f>Z57/2</f>
        <v>19.11</v>
      </c>
    </row>
    <row r="58" spans="1:27" ht="19.5">
      <c r="A58" s="267"/>
      <c r="B58" s="269"/>
      <c r="C58" s="269"/>
      <c r="D58" s="271" t="s">
        <v>183</v>
      </c>
      <c r="E58" s="289"/>
      <c r="F58" s="289">
        <v>8.67</v>
      </c>
      <c r="G58" s="289"/>
      <c r="H58" s="289"/>
      <c r="I58" s="289"/>
      <c r="J58" s="289"/>
      <c r="K58" s="289">
        <f>SUM(E58:J58)</f>
        <v>8.67</v>
      </c>
      <c r="L58" s="287"/>
      <c r="M58" s="287"/>
      <c r="N58" s="287"/>
      <c r="O58" s="287"/>
      <c r="P58" s="287"/>
      <c r="Q58" s="287"/>
      <c r="R58" s="288">
        <f>SUM(L58:Q58)*1.5</f>
        <v>0</v>
      </c>
      <c r="S58" s="293">
        <f>SUM(E58+F58+G58+H58+I58+J58+R58)</f>
        <v>8.67</v>
      </c>
      <c r="T58" s="287"/>
      <c r="U58" s="287"/>
      <c r="V58" s="287"/>
      <c r="W58" s="287"/>
      <c r="X58" s="288">
        <f>SUM(U58:W58)*1.5</f>
        <v>0</v>
      </c>
      <c r="Y58" s="293">
        <f>T58+X58</f>
        <v>0</v>
      </c>
      <c r="Z58" s="293">
        <f>S58+Y58</f>
        <v>8.67</v>
      </c>
      <c r="AA58" s="293">
        <f>Z58/2</f>
        <v>4.335</v>
      </c>
    </row>
    <row r="59" spans="1:27" ht="19.5">
      <c r="A59" s="267"/>
      <c r="B59" s="269"/>
      <c r="C59" s="269"/>
      <c r="D59" s="271" t="s">
        <v>184</v>
      </c>
      <c r="E59" s="296"/>
      <c r="F59" s="296"/>
      <c r="G59" s="296"/>
      <c r="H59" s="296"/>
      <c r="I59" s="296"/>
      <c r="J59" s="296"/>
      <c r="K59" s="289">
        <f>SUM(E59:J59)</f>
        <v>0</v>
      </c>
      <c r="L59" s="295"/>
      <c r="M59" s="295"/>
      <c r="N59" s="295"/>
      <c r="O59" s="295"/>
      <c r="P59" s="295"/>
      <c r="Q59" s="295"/>
      <c r="R59" s="288">
        <f>SUM(L59:Q59)*1.5</f>
        <v>0</v>
      </c>
      <c r="S59" s="293">
        <f>SUM(E59+F59+G59+H59+I59+J59+R59)</f>
        <v>0</v>
      </c>
      <c r="T59" s="295"/>
      <c r="U59" s="295"/>
      <c r="V59" s="295"/>
      <c r="W59" s="295"/>
      <c r="X59" s="288">
        <f>SUM(U59:W59)*1.5</f>
        <v>0</v>
      </c>
      <c r="Y59" s="293">
        <f>T59+X59</f>
        <v>0</v>
      </c>
      <c r="Z59" s="293">
        <f>S59+Y59</f>
        <v>0</v>
      </c>
      <c r="AA59" s="293">
        <f>Z59/2</f>
        <v>0</v>
      </c>
    </row>
    <row r="60" spans="1:27" ht="19.5">
      <c r="A60" s="279" t="s">
        <v>268</v>
      </c>
      <c r="B60" s="279"/>
      <c r="C60" s="279"/>
      <c r="D60" s="280"/>
      <c r="E60" s="297">
        <f>SUM(E61)</f>
        <v>35.33</v>
      </c>
      <c r="F60" s="297">
        <f aca="true" t="shared" si="32" ref="F60:Q60">SUM(F61)</f>
        <v>733.26</v>
      </c>
      <c r="G60" s="297">
        <f t="shared" si="32"/>
        <v>0</v>
      </c>
      <c r="H60" s="297">
        <f t="shared" si="32"/>
        <v>0</v>
      </c>
      <c r="I60" s="297">
        <f t="shared" si="32"/>
        <v>0</v>
      </c>
      <c r="J60" s="297">
        <f t="shared" si="32"/>
        <v>210.88</v>
      </c>
      <c r="K60" s="297">
        <f t="shared" si="32"/>
        <v>979.47</v>
      </c>
      <c r="L60" s="297">
        <f t="shared" si="32"/>
        <v>0</v>
      </c>
      <c r="M60" s="297">
        <f t="shared" si="32"/>
        <v>0</v>
      </c>
      <c r="N60" s="297">
        <f t="shared" si="32"/>
        <v>0</v>
      </c>
      <c r="O60" s="297">
        <f t="shared" si="32"/>
        <v>0</v>
      </c>
      <c r="P60" s="297">
        <f t="shared" si="32"/>
        <v>0</v>
      </c>
      <c r="Q60" s="297">
        <f t="shared" si="32"/>
        <v>0</v>
      </c>
      <c r="R60" s="297">
        <f>SUM(R61)</f>
        <v>0</v>
      </c>
      <c r="S60" s="297">
        <f>SUM(S61)</f>
        <v>979.47</v>
      </c>
      <c r="T60" s="297">
        <f aca="true" t="shared" si="33" ref="T60:AA60">SUM(T61)</f>
        <v>0</v>
      </c>
      <c r="U60" s="297">
        <f t="shared" si="33"/>
        <v>0</v>
      </c>
      <c r="V60" s="297">
        <f t="shared" si="33"/>
        <v>0</v>
      </c>
      <c r="W60" s="297">
        <f t="shared" si="33"/>
        <v>0</v>
      </c>
      <c r="X60" s="297">
        <f t="shared" si="33"/>
        <v>0</v>
      </c>
      <c r="Y60" s="297">
        <f t="shared" si="33"/>
        <v>0</v>
      </c>
      <c r="Z60" s="297">
        <f t="shared" si="33"/>
        <v>979.47</v>
      </c>
      <c r="AA60" s="297">
        <f t="shared" si="33"/>
        <v>489.735</v>
      </c>
    </row>
    <row r="61" spans="1:27" ht="19.5">
      <c r="A61" s="281"/>
      <c r="B61" s="265" t="s">
        <v>255</v>
      </c>
      <c r="C61" s="267"/>
      <c r="D61" s="282"/>
      <c r="E61" s="287">
        <v>35.33</v>
      </c>
      <c r="F61" s="287">
        <v>733.26</v>
      </c>
      <c r="G61" s="287"/>
      <c r="H61" s="287"/>
      <c r="I61" s="287"/>
      <c r="J61" s="287">
        <v>210.88</v>
      </c>
      <c r="K61" s="287">
        <f>SUM(E61:J61)</f>
        <v>979.47</v>
      </c>
      <c r="L61" s="287"/>
      <c r="M61" s="287"/>
      <c r="N61" s="287"/>
      <c r="O61" s="287"/>
      <c r="P61" s="287"/>
      <c r="Q61" s="287"/>
      <c r="R61" s="288">
        <f>SUM(L61:Q61)*1.5</f>
        <v>0</v>
      </c>
      <c r="S61" s="298">
        <f>E61+F61+G61+H61+I61+J61+R61</f>
        <v>979.47</v>
      </c>
      <c r="T61" s="287"/>
      <c r="U61" s="287"/>
      <c r="V61" s="287"/>
      <c r="W61" s="287"/>
      <c r="X61" s="288">
        <f>SUM(U61:W61)*1.5</f>
        <v>0</v>
      </c>
      <c r="Y61" s="298">
        <f>T61+X61</f>
        <v>0</v>
      </c>
      <c r="Z61" s="298">
        <f>S61+Y61</f>
        <v>979.47</v>
      </c>
      <c r="AA61" s="298">
        <f>Z61/2</f>
        <v>489.735</v>
      </c>
    </row>
    <row r="62" spans="1:27" ht="19.5">
      <c r="A62" s="279" t="s">
        <v>269</v>
      </c>
      <c r="B62" s="279"/>
      <c r="C62" s="279"/>
      <c r="D62" s="280"/>
      <c r="E62" s="297">
        <f>SUM(E63+E64+E67)</f>
        <v>163.92000000000002</v>
      </c>
      <c r="F62" s="297">
        <f aca="true" t="shared" si="34" ref="F62:Q62">SUM(F63+F64+F67)</f>
        <v>0</v>
      </c>
      <c r="G62" s="297">
        <f t="shared" si="34"/>
        <v>277.47</v>
      </c>
      <c r="H62" s="297">
        <f t="shared" si="34"/>
        <v>34</v>
      </c>
      <c r="I62" s="297">
        <f t="shared" si="34"/>
        <v>0</v>
      </c>
      <c r="J62" s="297">
        <f t="shared" si="34"/>
        <v>28.56</v>
      </c>
      <c r="K62" s="297">
        <f t="shared" si="34"/>
        <v>503.95</v>
      </c>
      <c r="L62" s="297">
        <f t="shared" si="34"/>
        <v>0</v>
      </c>
      <c r="M62" s="297">
        <f t="shared" si="34"/>
        <v>0</v>
      </c>
      <c r="N62" s="297">
        <f t="shared" si="34"/>
        <v>0</v>
      </c>
      <c r="O62" s="297">
        <f t="shared" si="34"/>
        <v>0</v>
      </c>
      <c r="P62" s="297">
        <f t="shared" si="34"/>
        <v>0</v>
      </c>
      <c r="Q62" s="297">
        <f t="shared" si="34"/>
        <v>0</v>
      </c>
      <c r="R62" s="297">
        <f>SUM(R63+R64+R67)</f>
        <v>0</v>
      </c>
      <c r="S62" s="297">
        <f>SUM(S63+S64+S67)</f>
        <v>503.95</v>
      </c>
      <c r="T62" s="297">
        <f aca="true" t="shared" si="35" ref="T62:AA62">SUM(T63+T64+T67)</f>
        <v>0</v>
      </c>
      <c r="U62" s="297">
        <f t="shared" si="35"/>
        <v>0</v>
      </c>
      <c r="V62" s="297">
        <f t="shared" si="35"/>
        <v>0</v>
      </c>
      <c r="W62" s="297">
        <f t="shared" si="35"/>
        <v>0</v>
      </c>
      <c r="X62" s="297">
        <f t="shared" si="35"/>
        <v>0</v>
      </c>
      <c r="Y62" s="297">
        <f t="shared" si="35"/>
        <v>0</v>
      </c>
      <c r="Z62" s="297">
        <f t="shared" si="35"/>
        <v>503.95</v>
      </c>
      <c r="AA62" s="297">
        <f t="shared" si="35"/>
        <v>251.975</v>
      </c>
    </row>
    <row r="63" spans="1:27" ht="19.5">
      <c r="A63" s="281"/>
      <c r="B63" s="265" t="s">
        <v>256</v>
      </c>
      <c r="C63" s="267"/>
      <c r="D63" s="273"/>
      <c r="E63" s="306"/>
      <c r="F63" s="306"/>
      <c r="G63" s="306">
        <v>124.31</v>
      </c>
      <c r="H63" s="306"/>
      <c r="I63" s="306"/>
      <c r="J63" s="306">
        <v>28.56</v>
      </c>
      <c r="K63" s="306">
        <f>SUM(E63:J63)</f>
        <v>152.87</v>
      </c>
      <c r="L63" s="306"/>
      <c r="M63" s="306"/>
      <c r="N63" s="306"/>
      <c r="O63" s="306"/>
      <c r="P63" s="306"/>
      <c r="Q63" s="306"/>
      <c r="R63" s="307">
        <f>SUM(L63:Q63)*1.5</f>
        <v>0</v>
      </c>
      <c r="S63" s="308">
        <f>E63+F63+G63+H63+I63+J63+R63</f>
        <v>152.87</v>
      </c>
      <c r="T63" s="287"/>
      <c r="U63" s="287"/>
      <c r="V63" s="287"/>
      <c r="W63" s="287"/>
      <c r="X63" s="288">
        <f>SUM(U63:W63)*1.5</f>
        <v>0</v>
      </c>
      <c r="Y63" s="298">
        <f>T63+X63</f>
        <v>0</v>
      </c>
      <c r="Z63" s="298">
        <f>S63+Y63</f>
        <v>152.87</v>
      </c>
      <c r="AA63" s="298">
        <f>Z63/2</f>
        <v>76.435</v>
      </c>
    </row>
    <row r="64" spans="1:27" ht="19.5">
      <c r="A64" s="281"/>
      <c r="B64" s="265" t="s">
        <v>257</v>
      </c>
      <c r="C64" s="267"/>
      <c r="D64" s="273"/>
      <c r="E64" s="309">
        <f>SUM(E65:E66)</f>
        <v>141.42000000000002</v>
      </c>
      <c r="F64" s="309">
        <f aca="true" t="shared" si="36" ref="F64:Q64">SUM(F65:F66)</f>
        <v>0</v>
      </c>
      <c r="G64" s="309">
        <f t="shared" si="36"/>
        <v>91.66</v>
      </c>
      <c r="H64" s="309">
        <f t="shared" si="36"/>
        <v>34</v>
      </c>
      <c r="I64" s="309">
        <f t="shared" si="36"/>
        <v>0</v>
      </c>
      <c r="J64" s="309">
        <f t="shared" si="36"/>
        <v>0</v>
      </c>
      <c r="K64" s="309">
        <f t="shared" si="36"/>
        <v>267.08</v>
      </c>
      <c r="L64" s="309">
        <f t="shared" si="36"/>
        <v>0</v>
      </c>
      <c r="M64" s="309">
        <f t="shared" si="36"/>
        <v>0</v>
      </c>
      <c r="N64" s="309">
        <f t="shared" si="36"/>
        <v>0</v>
      </c>
      <c r="O64" s="309">
        <f t="shared" si="36"/>
        <v>0</v>
      </c>
      <c r="P64" s="309">
        <f t="shared" si="36"/>
        <v>0</v>
      </c>
      <c r="Q64" s="309">
        <f t="shared" si="36"/>
        <v>0</v>
      </c>
      <c r="R64" s="309">
        <f>SUM(R65:R66)</f>
        <v>0</v>
      </c>
      <c r="S64" s="309">
        <f>SUM(S65:S66)</f>
        <v>267.08</v>
      </c>
      <c r="T64" s="289">
        <f aca="true" t="shared" si="37" ref="T64:Z64">SUM(T65:T66)</f>
        <v>0</v>
      </c>
      <c r="U64" s="289">
        <f t="shared" si="37"/>
        <v>0</v>
      </c>
      <c r="V64" s="289">
        <f t="shared" si="37"/>
        <v>0</v>
      </c>
      <c r="W64" s="289">
        <f t="shared" si="37"/>
        <v>0</v>
      </c>
      <c r="X64" s="289">
        <f t="shared" si="37"/>
        <v>0</v>
      </c>
      <c r="Y64" s="289">
        <f t="shared" si="37"/>
        <v>0</v>
      </c>
      <c r="Z64" s="289">
        <f t="shared" si="37"/>
        <v>267.08</v>
      </c>
      <c r="AA64" s="289">
        <f>SUM(AA65:AA66)</f>
        <v>133.54</v>
      </c>
    </row>
    <row r="65" spans="1:27" ht="19.5">
      <c r="A65" s="281"/>
      <c r="B65" s="267"/>
      <c r="C65" s="267"/>
      <c r="D65" s="273" t="s">
        <v>258</v>
      </c>
      <c r="E65" s="310">
        <f>96.41+25.34</f>
        <v>121.75</v>
      </c>
      <c r="F65" s="310"/>
      <c r="G65" s="310">
        <v>83.94</v>
      </c>
      <c r="H65" s="310"/>
      <c r="I65" s="310"/>
      <c r="J65" s="310"/>
      <c r="K65" s="310">
        <f>SUM(E65:J65)</f>
        <v>205.69</v>
      </c>
      <c r="L65" s="306"/>
      <c r="M65" s="306"/>
      <c r="N65" s="306"/>
      <c r="O65" s="306"/>
      <c r="P65" s="306"/>
      <c r="Q65" s="306"/>
      <c r="R65" s="307">
        <f>SUM(L65:Q65)*1.5</f>
        <v>0</v>
      </c>
      <c r="S65" s="308">
        <f>E65+F65+G65+H65+I65+J65+R65</f>
        <v>205.69</v>
      </c>
      <c r="T65" s="287"/>
      <c r="U65" s="287"/>
      <c r="V65" s="287"/>
      <c r="W65" s="287"/>
      <c r="X65" s="288">
        <f>SUM(U65:W65)*1.5</f>
        <v>0</v>
      </c>
      <c r="Y65" s="298">
        <f>T65+X65</f>
        <v>0</v>
      </c>
      <c r="Z65" s="298">
        <f>S65+Y65</f>
        <v>205.69</v>
      </c>
      <c r="AA65" s="298">
        <f>Z65/2</f>
        <v>102.845</v>
      </c>
    </row>
    <row r="66" spans="1:27" ht="19.5">
      <c r="A66" s="281"/>
      <c r="B66" s="267"/>
      <c r="C66" s="267"/>
      <c r="D66" s="273" t="s">
        <v>259</v>
      </c>
      <c r="E66" s="310">
        <v>19.67</v>
      </c>
      <c r="F66" s="310"/>
      <c r="G66" s="310">
        <v>7.72</v>
      </c>
      <c r="H66" s="310">
        <v>34</v>
      </c>
      <c r="I66" s="310"/>
      <c r="J66" s="310"/>
      <c r="K66" s="310">
        <f>SUM(E66:J66)</f>
        <v>61.39</v>
      </c>
      <c r="L66" s="306"/>
      <c r="M66" s="306"/>
      <c r="N66" s="306"/>
      <c r="O66" s="306"/>
      <c r="P66" s="306"/>
      <c r="Q66" s="306"/>
      <c r="R66" s="307">
        <f>SUM(L66:Q66)*1.5</f>
        <v>0</v>
      </c>
      <c r="S66" s="308">
        <f>E66+F66+G66+H66+I66+J66+R66</f>
        <v>61.39</v>
      </c>
      <c r="T66" s="287"/>
      <c r="U66" s="287"/>
      <c r="V66" s="287"/>
      <c r="W66" s="287"/>
      <c r="X66" s="288">
        <f>SUM(U66:W66)*1.5</f>
        <v>0</v>
      </c>
      <c r="Y66" s="298">
        <f>T66+X66</f>
        <v>0</v>
      </c>
      <c r="Z66" s="298">
        <f>S66+Y66</f>
        <v>61.39</v>
      </c>
      <c r="AA66" s="298">
        <f>Z66/2</f>
        <v>30.695</v>
      </c>
    </row>
    <row r="67" spans="1:27" ht="19.5">
      <c r="A67" s="281"/>
      <c r="B67" s="267" t="s">
        <v>262</v>
      </c>
      <c r="C67" s="267"/>
      <c r="D67" s="273"/>
      <c r="E67" s="306">
        <v>22.5</v>
      </c>
      <c r="F67" s="306"/>
      <c r="G67" s="306">
        <v>61.5</v>
      </c>
      <c r="H67" s="306"/>
      <c r="I67" s="306"/>
      <c r="J67" s="306"/>
      <c r="K67" s="310">
        <f>SUM(E67:J67)</f>
        <v>84</v>
      </c>
      <c r="L67" s="306"/>
      <c r="M67" s="306"/>
      <c r="N67" s="306"/>
      <c r="O67" s="306"/>
      <c r="P67" s="306"/>
      <c r="Q67" s="306"/>
      <c r="R67" s="307">
        <f>SUM(L67:Q67)*1.5</f>
        <v>0</v>
      </c>
      <c r="S67" s="308">
        <f>E67+F67+G67+H67+I67+J67+R67</f>
        <v>84</v>
      </c>
      <c r="T67" s="287"/>
      <c r="U67" s="287"/>
      <c r="V67" s="287"/>
      <c r="W67" s="287"/>
      <c r="X67" s="288">
        <f>SUM(U67:W67)*1.5</f>
        <v>0</v>
      </c>
      <c r="Y67" s="298">
        <f>T67+X67</f>
        <v>0</v>
      </c>
      <c r="Z67" s="298">
        <f>S67+Y67</f>
        <v>84</v>
      </c>
      <c r="AA67" s="298">
        <f>Z67/2</f>
        <v>42</v>
      </c>
    </row>
    <row r="68" spans="1:27" ht="19.5">
      <c r="A68" s="279" t="s">
        <v>270</v>
      </c>
      <c r="B68" s="279"/>
      <c r="C68" s="279"/>
      <c r="D68" s="280"/>
      <c r="E68" s="297">
        <f>SUM(E69+E71+E76+E78+E80+E85+E90+E92)</f>
        <v>922.5600000000001</v>
      </c>
      <c r="F68" s="297">
        <f aca="true" t="shared" si="38" ref="F68:Q68">SUM(F69+F71+F76+F78+F80+F85+F90+F92)</f>
        <v>0</v>
      </c>
      <c r="G68" s="297">
        <f t="shared" si="38"/>
        <v>1672.9199999999998</v>
      </c>
      <c r="H68" s="297">
        <f t="shared" si="38"/>
        <v>231.82</v>
      </c>
      <c r="I68" s="297">
        <f t="shared" si="38"/>
        <v>0</v>
      </c>
      <c r="J68" s="297">
        <f t="shared" si="38"/>
        <v>30</v>
      </c>
      <c r="K68" s="297">
        <f>SUM(K69+K71+K76+K78+K80+K85+K90+K92)</f>
        <v>2996.5599999999995</v>
      </c>
      <c r="L68" s="297">
        <f t="shared" si="38"/>
        <v>0</v>
      </c>
      <c r="M68" s="297">
        <f t="shared" si="38"/>
        <v>0</v>
      </c>
      <c r="N68" s="297">
        <f t="shared" si="38"/>
        <v>4.5</v>
      </c>
      <c r="O68" s="297">
        <f t="shared" si="38"/>
        <v>49.5</v>
      </c>
      <c r="P68" s="297">
        <f t="shared" si="38"/>
        <v>0.25</v>
      </c>
      <c r="Q68" s="297">
        <f t="shared" si="38"/>
        <v>0</v>
      </c>
      <c r="R68" s="297">
        <f>SUM(R69+R71+R76+R78+R80+R85+R90+R92)</f>
        <v>81.375</v>
      </c>
      <c r="S68" s="297">
        <f>SUM(S69+S71+S76+S78+S80+S85+S90+S92)</f>
        <v>3077.9349999999995</v>
      </c>
      <c r="T68" s="297">
        <f aca="true" t="shared" si="39" ref="T68:AA68">SUM(T69+T71+T76+T78+T80+T85+T90+T92)</f>
        <v>0</v>
      </c>
      <c r="U68" s="297">
        <f t="shared" si="39"/>
        <v>0</v>
      </c>
      <c r="V68" s="297">
        <f t="shared" si="39"/>
        <v>0</v>
      </c>
      <c r="W68" s="297">
        <f t="shared" si="39"/>
        <v>0</v>
      </c>
      <c r="X68" s="297">
        <f t="shared" si="39"/>
        <v>0</v>
      </c>
      <c r="Y68" s="297">
        <f t="shared" si="39"/>
        <v>0</v>
      </c>
      <c r="Z68" s="297">
        <f t="shared" si="39"/>
        <v>3077.9349999999995</v>
      </c>
      <c r="AA68" s="297">
        <f t="shared" si="39"/>
        <v>1538.9674999999997</v>
      </c>
    </row>
    <row r="69" spans="1:27" ht="19.5">
      <c r="A69" s="281"/>
      <c r="B69" s="267" t="s">
        <v>208</v>
      </c>
      <c r="C69" s="267"/>
      <c r="D69" s="273"/>
      <c r="E69" s="299"/>
      <c r="F69" s="299"/>
      <c r="G69" s="299"/>
      <c r="H69" s="299"/>
      <c r="I69" s="299"/>
      <c r="J69" s="299"/>
      <c r="K69" s="299">
        <f>SUM(E69:J69)</f>
        <v>0</v>
      </c>
      <c r="L69" s="298"/>
      <c r="M69" s="298"/>
      <c r="N69" s="298"/>
      <c r="O69" s="298"/>
      <c r="P69" s="53"/>
      <c r="Q69" s="53"/>
      <c r="R69" s="288">
        <f>SUM(L69:Q69)*1.5</f>
        <v>0</v>
      </c>
      <c r="S69" s="298">
        <f>E69+F69+G69+H69+I69+J69+R69</f>
        <v>0</v>
      </c>
      <c r="T69" s="298"/>
      <c r="U69" s="298"/>
      <c r="V69" s="298"/>
      <c r="W69" s="298"/>
      <c r="X69" s="288">
        <f>SUM(U69:W69)*1.5</f>
        <v>0</v>
      </c>
      <c r="Y69" s="298">
        <f>T69+X69</f>
        <v>0</v>
      </c>
      <c r="Z69" s="298">
        <f>S69+Y69</f>
        <v>0</v>
      </c>
      <c r="AA69" s="298">
        <f>Z69/2</f>
        <v>0</v>
      </c>
    </row>
    <row r="70" spans="1:27" ht="19.5">
      <c r="A70" s="311"/>
      <c r="B70" s="312" t="s">
        <v>209</v>
      </c>
      <c r="C70" s="312"/>
      <c r="D70" s="319"/>
      <c r="E70" s="325"/>
      <c r="F70" s="325"/>
      <c r="G70" s="325"/>
      <c r="H70" s="325"/>
      <c r="I70" s="325"/>
      <c r="J70" s="325"/>
      <c r="K70" s="325">
        <f>SUM(E70:J70)</f>
        <v>0</v>
      </c>
      <c r="L70" s="326"/>
      <c r="M70" s="326"/>
      <c r="N70" s="326"/>
      <c r="O70" s="326"/>
      <c r="P70" s="63"/>
      <c r="Q70" s="63"/>
      <c r="R70" s="63">
        <f>SUM(L70:Q70)*1.5</f>
        <v>0</v>
      </c>
      <c r="S70" s="63">
        <f>E70+F70+G70+H70+I70+J70+R70</f>
        <v>0</v>
      </c>
      <c r="T70" s="326"/>
      <c r="U70" s="326"/>
      <c r="V70" s="326"/>
      <c r="W70" s="326"/>
      <c r="X70" s="316">
        <f>SUM(U70:W70)*1.5</f>
        <v>0</v>
      </c>
      <c r="Y70" s="326">
        <f>T70+X70</f>
        <v>0</v>
      </c>
      <c r="Z70" s="326">
        <f>S70+Y70</f>
        <v>0</v>
      </c>
      <c r="AA70" s="326">
        <f>Z70/2</f>
        <v>0</v>
      </c>
    </row>
    <row r="71" spans="1:27" ht="19.5">
      <c r="A71" s="281"/>
      <c r="B71" s="265" t="s">
        <v>187</v>
      </c>
      <c r="C71" s="265"/>
      <c r="D71" s="273"/>
      <c r="E71" s="299">
        <f>SUM(E72:E75)</f>
        <v>183.01</v>
      </c>
      <c r="F71" s="299">
        <f aca="true" t="shared" si="40" ref="F71:Q71">SUM(F72:F75)</f>
        <v>0</v>
      </c>
      <c r="G71" s="299">
        <f t="shared" si="40"/>
        <v>446.1</v>
      </c>
      <c r="H71" s="299">
        <f t="shared" si="40"/>
        <v>23.16</v>
      </c>
      <c r="I71" s="299">
        <f t="shared" si="40"/>
        <v>0</v>
      </c>
      <c r="J71" s="299">
        <f t="shared" si="40"/>
        <v>7.33</v>
      </c>
      <c r="K71" s="299">
        <f t="shared" si="40"/>
        <v>659.5999999999999</v>
      </c>
      <c r="L71" s="299">
        <f t="shared" si="40"/>
        <v>0</v>
      </c>
      <c r="M71" s="299">
        <f t="shared" si="40"/>
        <v>0</v>
      </c>
      <c r="N71" s="299">
        <f t="shared" si="40"/>
        <v>0</v>
      </c>
      <c r="O71" s="299">
        <f t="shared" si="40"/>
        <v>0</v>
      </c>
      <c r="P71" s="299">
        <f t="shared" si="40"/>
        <v>0</v>
      </c>
      <c r="Q71" s="299">
        <f t="shared" si="40"/>
        <v>0</v>
      </c>
      <c r="R71" s="299">
        <f>SUM(R72:R75)</f>
        <v>0</v>
      </c>
      <c r="S71" s="299">
        <f>SUM(S72:S75)</f>
        <v>659.5999999999999</v>
      </c>
      <c r="T71" s="299">
        <f aca="true" t="shared" si="41" ref="T71:AA71">SUM(T72:T75)</f>
        <v>0</v>
      </c>
      <c r="U71" s="299">
        <f t="shared" si="41"/>
        <v>0</v>
      </c>
      <c r="V71" s="299">
        <f t="shared" si="41"/>
        <v>0</v>
      </c>
      <c r="W71" s="299">
        <f t="shared" si="41"/>
        <v>0</v>
      </c>
      <c r="X71" s="299">
        <f t="shared" si="41"/>
        <v>0</v>
      </c>
      <c r="Y71" s="299">
        <f t="shared" si="41"/>
        <v>0</v>
      </c>
      <c r="Z71" s="299">
        <f t="shared" si="41"/>
        <v>659.5999999999999</v>
      </c>
      <c r="AA71" s="299">
        <f t="shared" si="41"/>
        <v>329.79999999999995</v>
      </c>
    </row>
    <row r="72" spans="1:27" ht="19.5">
      <c r="A72" s="281"/>
      <c r="B72" s="267"/>
      <c r="C72" s="267"/>
      <c r="D72" s="273" t="s">
        <v>210</v>
      </c>
      <c r="E72" s="19">
        <f>11.11+123.55</f>
        <v>134.66</v>
      </c>
      <c r="F72" s="19"/>
      <c r="G72" s="19">
        <v>213.6</v>
      </c>
      <c r="H72" s="19">
        <f>9.33+4.57</f>
        <v>13.9</v>
      </c>
      <c r="I72" s="19"/>
      <c r="J72" s="19">
        <v>3.33</v>
      </c>
      <c r="K72" s="19">
        <f>SUM(E72:J72)</f>
        <v>365.48999999999995</v>
      </c>
      <c r="L72" s="287"/>
      <c r="M72" s="287"/>
      <c r="N72" s="287"/>
      <c r="O72" s="287"/>
      <c r="P72" s="287"/>
      <c r="Q72" s="287"/>
      <c r="R72" s="288">
        <f>SUM(L72:Q72)*1.5</f>
        <v>0</v>
      </c>
      <c r="S72" s="298">
        <f>E72+F72+G72+H72+I72+J72+R72</f>
        <v>365.48999999999995</v>
      </c>
      <c r="T72" s="287"/>
      <c r="U72" s="287"/>
      <c r="V72" s="287"/>
      <c r="W72" s="287"/>
      <c r="X72" s="288">
        <f>SUM(U72:W72)*1.5</f>
        <v>0</v>
      </c>
      <c r="Y72" s="298">
        <f>T72+X72</f>
        <v>0</v>
      </c>
      <c r="Z72" s="298">
        <f>S72+Y72</f>
        <v>365.48999999999995</v>
      </c>
      <c r="AA72" s="298">
        <f>Z72/2</f>
        <v>182.74499999999998</v>
      </c>
    </row>
    <row r="73" spans="1:27" ht="19.5">
      <c r="A73" s="281"/>
      <c r="B73" s="267"/>
      <c r="C73" s="267"/>
      <c r="D73" s="273" t="s">
        <v>211</v>
      </c>
      <c r="E73" s="19">
        <v>15.57</v>
      </c>
      <c r="F73" s="19"/>
      <c r="G73" s="19">
        <v>8.83</v>
      </c>
      <c r="H73" s="19">
        <f>3.11+1.52</f>
        <v>4.63</v>
      </c>
      <c r="I73" s="19"/>
      <c r="J73" s="19">
        <v>4</v>
      </c>
      <c r="K73" s="19">
        <f>SUM(E73:J73)</f>
        <v>33.03</v>
      </c>
      <c r="L73" s="287"/>
      <c r="M73" s="287"/>
      <c r="N73" s="287"/>
      <c r="O73" s="287"/>
      <c r="P73" s="287"/>
      <c r="Q73" s="287"/>
      <c r="R73" s="288">
        <f>SUM(L73:Q73)*1.5</f>
        <v>0</v>
      </c>
      <c r="S73" s="298">
        <f>E73+F73+G73+H73+I73+J73+R73</f>
        <v>33.03</v>
      </c>
      <c r="T73" s="287"/>
      <c r="U73" s="287"/>
      <c r="V73" s="287"/>
      <c r="W73" s="287"/>
      <c r="X73" s="288">
        <f>SUM(U73:W73)*1.5</f>
        <v>0</v>
      </c>
      <c r="Y73" s="298">
        <f>T73+X73</f>
        <v>0</v>
      </c>
      <c r="Z73" s="298">
        <f>S73+Y73</f>
        <v>33.03</v>
      </c>
      <c r="AA73" s="298">
        <f>Z73/2</f>
        <v>16.515</v>
      </c>
    </row>
    <row r="74" spans="1:27" ht="19.5">
      <c r="A74" s="281"/>
      <c r="B74" s="267"/>
      <c r="C74" s="267"/>
      <c r="D74" s="273" t="s">
        <v>212</v>
      </c>
      <c r="E74" s="19"/>
      <c r="F74" s="19"/>
      <c r="G74" s="19">
        <v>74.16</v>
      </c>
      <c r="H74" s="19"/>
      <c r="I74" s="19"/>
      <c r="J74" s="19"/>
      <c r="K74" s="19">
        <f>SUM(E74:J74)</f>
        <v>74.16</v>
      </c>
      <c r="L74" s="287"/>
      <c r="M74" s="287"/>
      <c r="N74" s="287"/>
      <c r="O74" s="287"/>
      <c r="P74" s="287"/>
      <c r="Q74" s="287"/>
      <c r="R74" s="288">
        <f>SUM(L74:Q74)*1.5</f>
        <v>0</v>
      </c>
      <c r="S74" s="298">
        <f>E74+F74+G74+H74+I74+J74+R74</f>
        <v>74.16</v>
      </c>
      <c r="T74" s="287"/>
      <c r="U74" s="287"/>
      <c r="V74" s="287"/>
      <c r="W74" s="287"/>
      <c r="X74" s="288">
        <f>SUM(U74:W74)*1.5</f>
        <v>0</v>
      </c>
      <c r="Y74" s="298">
        <f>T74+X74</f>
        <v>0</v>
      </c>
      <c r="Z74" s="298">
        <f>S74+Y74</f>
        <v>74.16</v>
      </c>
      <c r="AA74" s="298">
        <f>Z74/2</f>
        <v>37.08</v>
      </c>
    </row>
    <row r="75" spans="1:27" ht="19.5">
      <c r="A75" s="281"/>
      <c r="B75" s="267"/>
      <c r="C75" s="267"/>
      <c r="D75" s="273" t="s">
        <v>213</v>
      </c>
      <c r="E75" s="19">
        <f>32.78</f>
        <v>32.78</v>
      </c>
      <c r="F75" s="19"/>
      <c r="G75" s="19">
        <v>149.51</v>
      </c>
      <c r="H75" s="19">
        <f>3.11+1.52</f>
        <v>4.63</v>
      </c>
      <c r="I75" s="19"/>
      <c r="J75" s="19"/>
      <c r="K75" s="19">
        <f>SUM(E75:J75)</f>
        <v>186.92</v>
      </c>
      <c r="L75" s="287"/>
      <c r="M75" s="287"/>
      <c r="N75" s="287"/>
      <c r="O75" s="287"/>
      <c r="P75" s="287"/>
      <c r="Q75" s="287"/>
      <c r="R75" s="288">
        <f>SUM(L75:Q75)*1.5</f>
        <v>0</v>
      </c>
      <c r="S75" s="298">
        <f>E75+F75+G75+H75+I75+J75+R75</f>
        <v>186.92</v>
      </c>
      <c r="T75" s="287"/>
      <c r="U75" s="287"/>
      <c r="V75" s="287"/>
      <c r="W75" s="287"/>
      <c r="X75" s="288">
        <f>SUM(U75:W75)*1.5</f>
        <v>0</v>
      </c>
      <c r="Y75" s="298">
        <f>T75+X75</f>
        <v>0</v>
      </c>
      <c r="Z75" s="298">
        <f>S75+Y75</f>
        <v>186.92</v>
      </c>
      <c r="AA75" s="298">
        <f>Z75/2</f>
        <v>93.46</v>
      </c>
    </row>
    <row r="76" spans="1:27" ht="19.5">
      <c r="A76" s="281"/>
      <c r="B76" s="265" t="s">
        <v>275</v>
      </c>
      <c r="C76" s="265"/>
      <c r="D76" s="273"/>
      <c r="E76" s="289">
        <f>SUM(E77)</f>
        <v>7.78</v>
      </c>
      <c r="F76" s="289">
        <f aca="true" t="shared" si="42" ref="F76:Q76">SUM(F77)</f>
        <v>0</v>
      </c>
      <c r="G76" s="289">
        <f t="shared" si="42"/>
        <v>340.52</v>
      </c>
      <c r="H76" s="289">
        <f t="shared" si="42"/>
        <v>0</v>
      </c>
      <c r="I76" s="289">
        <f t="shared" si="42"/>
        <v>0</v>
      </c>
      <c r="J76" s="289">
        <f t="shared" si="42"/>
        <v>0</v>
      </c>
      <c r="K76" s="289">
        <f t="shared" si="42"/>
        <v>348.29999999999995</v>
      </c>
      <c r="L76" s="289">
        <f t="shared" si="42"/>
        <v>0</v>
      </c>
      <c r="M76" s="289">
        <f t="shared" si="42"/>
        <v>0</v>
      </c>
      <c r="N76" s="289">
        <f t="shared" si="42"/>
        <v>0</v>
      </c>
      <c r="O76" s="289">
        <f t="shared" si="42"/>
        <v>0</v>
      </c>
      <c r="P76" s="289">
        <f t="shared" si="42"/>
        <v>0</v>
      </c>
      <c r="Q76" s="289">
        <f t="shared" si="42"/>
        <v>0</v>
      </c>
      <c r="R76" s="289">
        <f>SUM(R77)</f>
        <v>0</v>
      </c>
      <c r="S76" s="289">
        <f>SUM(S77)</f>
        <v>348.29999999999995</v>
      </c>
      <c r="T76" s="289">
        <f aca="true" t="shared" si="43" ref="T76:AA76">SUM(T77)</f>
        <v>0</v>
      </c>
      <c r="U76" s="289">
        <f t="shared" si="43"/>
        <v>0</v>
      </c>
      <c r="V76" s="289">
        <f t="shared" si="43"/>
        <v>0</v>
      </c>
      <c r="W76" s="289">
        <f t="shared" si="43"/>
        <v>0</v>
      </c>
      <c r="X76" s="289">
        <f t="shared" si="43"/>
        <v>0</v>
      </c>
      <c r="Y76" s="289">
        <f t="shared" si="43"/>
        <v>0</v>
      </c>
      <c r="Z76" s="289">
        <f t="shared" si="43"/>
        <v>348.29999999999995</v>
      </c>
      <c r="AA76" s="289">
        <f t="shared" si="43"/>
        <v>174.14999999999998</v>
      </c>
    </row>
    <row r="77" spans="1:27" ht="19.5">
      <c r="A77" s="281"/>
      <c r="B77" s="267"/>
      <c r="C77" s="267"/>
      <c r="D77" s="273" t="s">
        <v>288</v>
      </c>
      <c r="E77" s="19">
        <v>7.78</v>
      </c>
      <c r="F77" s="19"/>
      <c r="G77" s="19">
        <f>116.34+29.34+194.84</f>
        <v>340.52</v>
      </c>
      <c r="H77" s="19"/>
      <c r="I77" s="19"/>
      <c r="J77" s="19"/>
      <c r="K77" s="19">
        <f>SUM(E77:J77)</f>
        <v>348.29999999999995</v>
      </c>
      <c r="L77" s="287"/>
      <c r="M77" s="287"/>
      <c r="N77" s="287"/>
      <c r="O77" s="287"/>
      <c r="P77" s="287"/>
      <c r="Q77" s="287"/>
      <c r="R77" s="288">
        <f>SUM(L77:Q77)*1.5</f>
        <v>0</v>
      </c>
      <c r="S77" s="298">
        <f>E77+F77+G77+H77+I77+J77+R77</f>
        <v>348.29999999999995</v>
      </c>
      <c r="T77" s="287"/>
      <c r="U77" s="287"/>
      <c r="V77" s="287"/>
      <c r="W77" s="287"/>
      <c r="X77" s="288">
        <f>SUM(U77:W77)*1.5</f>
        <v>0</v>
      </c>
      <c r="Y77" s="298">
        <f>T77+X77</f>
        <v>0</v>
      </c>
      <c r="Z77" s="298">
        <f>S77+Y77</f>
        <v>348.29999999999995</v>
      </c>
      <c r="AA77" s="298">
        <f>Z77/2</f>
        <v>174.14999999999998</v>
      </c>
    </row>
    <row r="78" spans="1:27" ht="19.5">
      <c r="A78" s="281"/>
      <c r="B78" s="264" t="s">
        <v>185</v>
      </c>
      <c r="C78" s="264"/>
      <c r="D78" s="271"/>
      <c r="E78" s="289">
        <f>SUM(E79)</f>
        <v>31.77</v>
      </c>
      <c r="F78" s="289"/>
      <c r="G78" s="289"/>
      <c r="H78" s="289"/>
      <c r="I78" s="289">
        <f>SUM(I79)</f>
        <v>0</v>
      </c>
      <c r="J78" s="289">
        <f>SUM(J79)</f>
        <v>0</v>
      </c>
      <c r="K78" s="289">
        <f>SUM(K79)</f>
        <v>171.03</v>
      </c>
      <c r="L78" s="289">
        <f aca="true" t="shared" si="44" ref="L78:AA78">SUM(L79)</f>
        <v>0</v>
      </c>
      <c r="M78" s="289">
        <f t="shared" si="44"/>
        <v>0</v>
      </c>
      <c r="N78" s="289">
        <f t="shared" si="44"/>
        <v>0</v>
      </c>
      <c r="O78" s="289">
        <f t="shared" si="44"/>
        <v>0</v>
      </c>
      <c r="P78" s="289">
        <f t="shared" si="44"/>
        <v>0</v>
      </c>
      <c r="Q78" s="289">
        <f t="shared" si="44"/>
        <v>0</v>
      </c>
      <c r="R78" s="289">
        <f>SUM(R79)</f>
        <v>0</v>
      </c>
      <c r="S78" s="289">
        <f>SUM(S79)</f>
        <v>171.03</v>
      </c>
      <c r="T78" s="289">
        <f t="shared" si="44"/>
        <v>0</v>
      </c>
      <c r="U78" s="289">
        <f t="shared" si="44"/>
        <v>0</v>
      </c>
      <c r="V78" s="289">
        <f t="shared" si="44"/>
        <v>0</v>
      </c>
      <c r="W78" s="289">
        <f t="shared" si="44"/>
        <v>0</v>
      </c>
      <c r="X78" s="289">
        <f t="shared" si="44"/>
        <v>0</v>
      </c>
      <c r="Y78" s="289">
        <f t="shared" si="44"/>
        <v>0</v>
      </c>
      <c r="Z78" s="289">
        <f t="shared" si="44"/>
        <v>171.03</v>
      </c>
      <c r="AA78" s="289">
        <f t="shared" si="44"/>
        <v>85.515</v>
      </c>
    </row>
    <row r="79" spans="1:27" ht="19.5">
      <c r="A79" s="281"/>
      <c r="B79" s="267"/>
      <c r="C79" s="267"/>
      <c r="D79" s="273" t="s">
        <v>215</v>
      </c>
      <c r="E79" s="19">
        <v>31.77</v>
      </c>
      <c r="F79" s="19"/>
      <c r="G79" s="19">
        <v>139.26</v>
      </c>
      <c r="H79" s="19"/>
      <c r="I79" s="19"/>
      <c r="J79" s="19"/>
      <c r="K79" s="19">
        <f>SUM(E79:J79)</f>
        <v>171.03</v>
      </c>
      <c r="L79" s="287"/>
      <c r="M79" s="287"/>
      <c r="N79" s="287"/>
      <c r="O79" s="287"/>
      <c r="P79" s="287"/>
      <c r="Q79" s="287"/>
      <c r="R79" s="288">
        <f>SUM(L79:Q79)*1.5</f>
        <v>0</v>
      </c>
      <c r="S79" s="287">
        <f>E79+F79+G79+H79+I79+J79+R79</f>
        <v>171.03</v>
      </c>
      <c r="T79" s="287"/>
      <c r="U79" s="287"/>
      <c r="V79" s="287"/>
      <c r="W79" s="287"/>
      <c r="X79" s="288">
        <f>SUM(U79:W79)*1.5</f>
        <v>0</v>
      </c>
      <c r="Y79" s="287">
        <f>T79+X79</f>
        <v>0</v>
      </c>
      <c r="Z79" s="287">
        <f>S79+Y79</f>
        <v>171.03</v>
      </c>
      <c r="AA79" s="287">
        <f>Z79/2</f>
        <v>85.515</v>
      </c>
    </row>
    <row r="80" spans="1:27" ht="19.5">
      <c r="A80" s="265"/>
      <c r="B80" s="265" t="s">
        <v>186</v>
      </c>
      <c r="C80" s="265"/>
      <c r="D80" s="271"/>
      <c r="E80" s="289">
        <f>SUM(E81+E83)</f>
        <v>200.67000000000002</v>
      </c>
      <c r="F80" s="289">
        <f aca="true" t="shared" si="45" ref="F80:Q80">SUM(F81+F83)</f>
        <v>0</v>
      </c>
      <c r="G80" s="289">
        <f t="shared" si="45"/>
        <v>221.34</v>
      </c>
      <c r="H80" s="289">
        <f t="shared" si="45"/>
        <v>71.50999999999999</v>
      </c>
      <c r="I80" s="289">
        <f t="shared" si="45"/>
        <v>0</v>
      </c>
      <c r="J80" s="289">
        <f t="shared" si="45"/>
        <v>5</v>
      </c>
      <c r="K80" s="289">
        <f t="shared" si="45"/>
        <v>498.52</v>
      </c>
      <c r="L80" s="289">
        <f t="shared" si="45"/>
        <v>0</v>
      </c>
      <c r="M80" s="289">
        <f t="shared" si="45"/>
        <v>0</v>
      </c>
      <c r="N80" s="289">
        <f t="shared" si="45"/>
        <v>0</v>
      </c>
      <c r="O80" s="289">
        <f t="shared" si="45"/>
        <v>6</v>
      </c>
      <c r="P80" s="289">
        <f t="shared" si="45"/>
        <v>0</v>
      </c>
      <c r="Q80" s="289">
        <f t="shared" si="45"/>
        <v>0</v>
      </c>
      <c r="R80" s="289">
        <f>SUM(R81+R83)</f>
        <v>9</v>
      </c>
      <c r="S80" s="289">
        <f>SUM(S81+S83)</f>
        <v>507.52</v>
      </c>
      <c r="T80" s="289">
        <f aca="true" t="shared" si="46" ref="T80:AA80">SUM(T81+T83)</f>
        <v>0</v>
      </c>
      <c r="U80" s="289">
        <f t="shared" si="46"/>
        <v>0</v>
      </c>
      <c r="V80" s="289">
        <f t="shared" si="46"/>
        <v>0</v>
      </c>
      <c r="W80" s="289">
        <f t="shared" si="46"/>
        <v>0</v>
      </c>
      <c r="X80" s="289">
        <f t="shared" si="46"/>
        <v>0</v>
      </c>
      <c r="Y80" s="289">
        <f t="shared" si="46"/>
        <v>0</v>
      </c>
      <c r="Z80" s="289">
        <f t="shared" si="46"/>
        <v>507.52</v>
      </c>
      <c r="AA80" s="289">
        <f t="shared" si="46"/>
        <v>253.76</v>
      </c>
    </row>
    <row r="81" spans="1:27" ht="19.5">
      <c r="A81" s="281"/>
      <c r="B81" s="267"/>
      <c r="C81" s="267"/>
      <c r="D81" s="273" t="s">
        <v>194</v>
      </c>
      <c r="E81" s="251">
        <f>35.84+164.83</f>
        <v>200.67000000000002</v>
      </c>
      <c r="F81" s="251"/>
      <c r="G81" s="251">
        <f>221.34</f>
        <v>221.34</v>
      </c>
      <c r="H81" s="251">
        <f>15+56.51</f>
        <v>71.50999999999999</v>
      </c>
      <c r="I81" s="251"/>
      <c r="J81" s="251">
        <v>5</v>
      </c>
      <c r="K81" s="251">
        <f>SUM(E81:J81)</f>
        <v>498.52</v>
      </c>
      <c r="L81" s="251"/>
      <c r="M81" s="251"/>
      <c r="N81" s="251"/>
      <c r="O81" s="251">
        <f>2+2+2</f>
        <v>6</v>
      </c>
      <c r="P81" s="287"/>
      <c r="Q81" s="287"/>
      <c r="R81" s="288">
        <f>SUM(L81:Q81)*1.5</f>
        <v>9</v>
      </c>
      <c r="S81" s="287">
        <f>E81+F81+G81+H81+I81+J81+R81</f>
        <v>507.52</v>
      </c>
      <c r="T81" s="287"/>
      <c r="U81" s="287"/>
      <c r="V81" s="287"/>
      <c r="W81" s="287"/>
      <c r="X81" s="288">
        <f>SUM(U81:W81)*1.5</f>
        <v>0</v>
      </c>
      <c r="Y81" s="287">
        <f>T81+X81</f>
        <v>0</v>
      </c>
      <c r="Z81" s="287">
        <f>S81+Y81</f>
        <v>507.52</v>
      </c>
      <c r="AA81" s="287">
        <f>Z81/2</f>
        <v>253.76</v>
      </c>
    </row>
    <row r="82" spans="1:27" ht="19.5">
      <c r="A82" s="311"/>
      <c r="B82" s="312"/>
      <c r="C82" s="312"/>
      <c r="D82" s="319" t="s">
        <v>195</v>
      </c>
      <c r="E82" s="23"/>
      <c r="F82" s="23"/>
      <c r="G82" s="23"/>
      <c r="H82" s="23"/>
      <c r="I82" s="23"/>
      <c r="J82" s="23"/>
      <c r="K82" s="23">
        <f>SUM(E82:J82)</f>
        <v>0</v>
      </c>
      <c r="L82" s="23"/>
      <c r="M82" s="23"/>
      <c r="N82" s="23">
        <v>2.5</v>
      </c>
      <c r="O82" s="23"/>
      <c r="P82" s="315"/>
      <c r="Q82" s="315"/>
      <c r="R82" s="316">
        <f>SUM(L82:Q82)*1.5</f>
        <v>3.75</v>
      </c>
      <c r="S82" s="315">
        <f>E82+F82+G82+H82+I82+J82+R82</f>
        <v>3.75</v>
      </c>
      <c r="T82" s="315"/>
      <c r="U82" s="315"/>
      <c r="V82" s="315"/>
      <c r="W82" s="315"/>
      <c r="X82" s="316">
        <f>SUM(U82:W82)*1.5</f>
        <v>0</v>
      </c>
      <c r="Y82" s="315">
        <f>T82+X82</f>
        <v>0</v>
      </c>
      <c r="Z82" s="315">
        <f>S82+Y82</f>
        <v>3.75</v>
      </c>
      <c r="AA82" s="315">
        <f>Z82/2</f>
        <v>1.875</v>
      </c>
    </row>
    <row r="83" spans="1:27" ht="19.5">
      <c r="A83" s="281"/>
      <c r="B83" s="267"/>
      <c r="C83" s="267"/>
      <c r="D83" s="273" t="s">
        <v>196</v>
      </c>
      <c r="E83" s="251"/>
      <c r="F83" s="251"/>
      <c r="G83" s="251"/>
      <c r="H83" s="251"/>
      <c r="I83" s="251"/>
      <c r="J83" s="251"/>
      <c r="K83" s="251">
        <f>SUM(E83:J83)</f>
        <v>0</v>
      </c>
      <c r="L83" s="251"/>
      <c r="M83" s="251"/>
      <c r="N83" s="251"/>
      <c r="O83" s="251"/>
      <c r="P83" s="287"/>
      <c r="Q83" s="287"/>
      <c r="R83" s="288">
        <f>SUM(L83:Q83)*1.5</f>
        <v>0</v>
      </c>
      <c r="S83" s="287">
        <f>E83+F83+G83+H83+I83+J83+R83</f>
        <v>0</v>
      </c>
      <c r="T83" s="287"/>
      <c r="U83" s="287"/>
      <c r="V83" s="287"/>
      <c r="W83" s="287"/>
      <c r="X83" s="288">
        <f>SUM(U83:W83)*1.5</f>
        <v>0</v>
      </c>
      <c r="Y83" s="287">
        <f>T83+X83</f>
        <v>0</v>
      </c>
      <c r="Z83" s="287">
        <f>S83+Y83</f>
        <v>0</v>
      </c>
      <c r="AA83" s="287">
        <f>Z83/2</f>
        <v>0</v>
      </c>
    </row>
    <row r="84" spans="1:27" ht="19.5">
      <c r="A84" s="311"/>
      <c r="B84" s="312"/>
      <c r="C84" s="312"/>
      <c r="D84" s="319" t="s">
        <v>197</v>
      </c>
      <c r="E84" s="23"/>
      <c r="F84" s="23"/>
      <c r="G84" s="23"/>
      <c r="H84" s="23"/>
      <c r="I84" s="23"/>
      <c r="J84" s="23"/>
      <c r="K84" s="23">
        <f>SUM(E84:J84)</f>
        <v>0</v>
      </c>
      <c r="L84" s="23"/>
      <c r="M84" s="23"/>
      <c r="N84" s="23">
        <v>0.5</v>
      </c>
      <c r="O84" s="23">
        <f>1+5</f>
        <v>6</v>
      </c>
      <c r="P84" s="315"/>
      <c r="Q84" s="315"/>
      <c r="R84" s="316">
        <f>SUM(L84:Q84)*1.5</f>
        <v>9.75</v>
      </c>
      <c r="S84" s="315">
        <f>E84+F84+G84+H84+I84+J84+R84</f>
        <v>9.75</v>
      </c>
      <c r="T84" s="315"/>
      <c r="U84" s="315"/>
      <c r="V84" s="315"/>
      <c r="W84" s="315"/>
      <c r="X84" s="316">
        <f>SUM(U84:W84)*1.5</f>
        <v>0</v>
      </c>
      <c r="Y84" s="315">
        <f>T84+X84</f>
        <v>0</v>
      </c>
      <c r="Z84" s="315">
        <f>S84+Y84</f>
        <v>9.75</v>
      </c>
      <c r="AA84" s="315">
        <f>Z84/2</f>
        <v>4.875</v>
      </c>
    </row>
    <row r="85" spans="1:27" ht="19.5">
      <c r="A85" s="281"/>
      <c r="B85" s="265" t="s">
        <v>188</v>
      </c>
      <c r="C85" s="265"/>
      <c r="D85" s="271"/>
      <c r="E85" s="289">
        <f>SUM(E86:E89)</f>
        <v>40.35</v>
      </c>
      <c r="F85" s="289">
        <f aca="true" t="shared" si="47" ref="F85:Q85">SUM(F86:F89)</f>
        <v>0</v>
      </c>
      <c r="G85" s="289">
        <f t="shared" si="47"/>
        <v>227.02</v>
      </c>
      <c r="H85" s="289">
        <f t="shared" si="47"/>
        <v>0</v>
      </c>
      <c r="I85" s="289">
        <f t="shared" si="47"/>
        <v>0</v>
      </c>
      <c r="J85" s="289">
        <f t="shared" si="47"/>
        <v>0</v>
      </c>
      <c r="K85" s="289">
        <f t="shared" si="47"/>
        <v>267.37</v>
      </c>
      <c r="L85" s="289">
        <f t="shared" si="47"/>
        <v>0</v>
      </c>
      <c r="M85" s="289">
        <f t="shared" si="47"/>
        <v>0</v>
      </c>
      <c r="N85" s="289">
        <f t="shared" si="47"/>
        <v>0</v>
      </c>
      <c r="O85" s="289">
        <f t="shared" si="47"/>
        <v>0</v>
      </c>
      <c r="P85" s="289">
        <f t="shared" si="47"/>
        <v>0</v>
      </c>
      <c r="Q85" s="289">
        <f t="shared" si="47"/>
        <v>0</v>
      </c>
      <c r="R85" s="289">
        <f>SUM(R86:R89)</f>
        <v>0</v>
      </c>
      <c r="S85" s="289">
        <f>SUM(S86:S89)</f>
        <v>267.37</v>
      </c>
      <c r="T85" s="289">
        <f aca="true" t="shared" si="48" ref="T85:AA85">SUM(T86:T89)</f>
        <v>0</v>
      </c>
      <c r="U85" s="289">
        <f t="shared" si="48"/>
        <v>0</v>
      </c>
      <c r="V85" s="289">
        <f t="shared" si="48"/>
        <v>0</v>
      </c>
      <c r="W85" s="289">
        <f t="shared" si="48"/>
        <v>0</v>
      </c>
      <c r="X85" s="289">
        <f t="shared" si="48"/>
        <v>0</v>
      </c>
      <c r="Y85" s="289">
        <f t="shared" si="48"/>
        <v>0</v>
      </c>
      <c r="Z85" s="289">
        <f t="shared" si="48"/>
        <v>267.37</v>
      </c>
      <c r="AA85" s="289">
        <f t="shared" si="48"/>
        <v>133.685</v>
      </c>
    </row>
    <row r="86" spans="1:27" ht="19.5">
      <c r="A86" s="281"/>
      <c r="B86" s="267"/>
      <c r="C86" s="267"/>
      <c r="D86" s="273" t="s">
        <v>189</v>
      </c>
      <c r="E86" s="19">
        <v>18.84</v>
      </c>
      <c r="F86" s="19"/>
      <c r="G86" s="19">
        <v>32.02</v>
      </c>
      <c r="H86" s="19"/>
      <c r="I86" s="19"/>
      <c r="J86" s="19"/>
      <c r="K86" s="19">
        <f>SUM(E86:J86)</f>
        <v>50.86</v>
      </c>
      <c r="L86" s="287"/>
      <c r="M86" s="287"/>
      <c r="N86" s="287"/>
      <c r="O86" s="287"/>
      <c r="P86" s="287"/>
      <c r="Q86" s="287"/>
      <c r="R86" s="288">
        <f>SUM(L86:Q86)*1.5</f>
        <v>0</v>
      </c>
      <c r="S86" s="287">
        <f>E86+F86+G86+H86+I86+J86+R86</f>
        <v>50.86</v>
      </c>
      <c r="T86" s="287"/>
      <c r="U86" s="287"/>
      <c r="V86" s="287"/>
      <c r="W86" s="287"/>
      <c r="X86" s="288">
        <f>SUM(U86:W86)*1.5</f>
        <v>0</v>
      </c>
      <c r="Y86" s="287">
        <f>T86+X86</f>
        <v>0</v>
      </c>
      <c r="Z86" s="287">
        <f>S86+Y86</f>
        <v>50.86</v>
      </c>
      <c r="AA86" s="287">
        <f>Z86/2</f>
        <v>25.43</v>
      </c>
    </row>
    <row r="87" spans="1:27" ht="19.5">
      <c r="A87" s="281"/>
      <c r="B87" s="267"/>
      <c r="C87" s="267"/>
      <c r="D87" s="273" t="s">
        <v>190</v>
      </c>
      <c r="E87" s="19"/>
      <c r="F87" s="19"/>
      <c r="G87" s="19">
        <v>93.81</v>
      </c>
      <c r="H87" s="19"/>
      <c r="I87" s="19"/>
      <c r="J87" s="19"/>
      <c r="K87" s="19">
        <f>SUM(E87:J87)</f>
        <v>93.81</v>
      </c>
      <c r="L87" s="287"/>
      <c r="M87" s="287"/>
      <c r="N87" s="287"/>
      <c r="O87" s="287"/>
      <c r="P87" s="287"/>
      <c r="Q87" s="287"/>
      <c r="R87" s="288">
        <f>SUM(L87:Q87)*1.5</f>
        <v>0</v>
      </c>
      <c r="S87" s="287">
        <f>E87+F87+G87+H87+I87+J87+R87</f>
        <v>93.81</v>
      </c>
      <c r="T87" s="287"/>
      <c r="U87" s="287"/>
      <c r="V87" s="287"/>
      <c r="W87" s="287"/>
      <c r="X87" s="288">
        <f>SUM(U87:W87)*1.5</f>
        <v>0</v>
      </c>
      <c r="Y87" s="287">
        <f>T87+X87</f>
        <v>0</v>
      </c>
      <c r="Z87" s="287">
        <f>S87+Y87</f>
        <v>93.81</v>
      </c>
      <c r="AA87" s="287">
        <f>Z87/2</f>
        <v>46.905</v>
      </c>
    </row>
    <row r="88" spans="1:27" ht="19.5">
      <c r="A88" s="281"/>
      <c r="B88" s="267"/>
      <c r="C88" s="267"/>
      <c r="D88" s="273" t="s">
        <v>191</v>
      </c>
      <c r="E88" s="19">
        <f>21.51</f>
        <v>21.51</v>
      </c>
      <c r="F88" s="19"/>
      <c r="G88" s="19"/>
      <c r="H88" s="19"/>
      <c r="I88" s="19"/>
      <c r="J88" s="19"/>
      <c r="K88" s="19">
        <f>SUM(E88:J88)</f>
        <v>21.51</v>
      </c>
      <c r="L88" s="287"/>
      <c r="M88" s="287"/>
      <c r="N88" s="287"/>
      <c r="O88" s="287"/>
      <c r="P88" s="287"/>
      <c r="Q88" s="287"/>
      <c r="R88" s="288">
        <f>SUM(L88:Q88)*1.5</f>
        <v>0</v>
      </c>
      <c r="S88" s="287">
        <f>E88+F88+G88+H88+I88+J88+R88</f>
        <v>21.51</v>
      </c>
      <c r="T88" s="287"/>
      <c r="U88" s="287"/>
      <c r="V88" s="287"/>
      <c r="W88" s="287"/>
      <c r="X88" s="288">
        <f>SUM(U88:W88)*1.5</f>
        <v>0</v>
      </c>
      <c r="Y88" s="287">
        <f>T88+X88</f>
        <v>0</v>
      </c>
      <c r="Z88" s="287">
        <f>S88+Y88</f>
        <v>21.51</v>
      </c>
      <c r="AA88" s="287">
        <f>Z88/2</f>
        <v>10.755</v>
      </c>
    </row>
    <row r="89" spans="1:27" ht="19.5">
      <c r="A89" s="281"/>
      <c r="B89" s="267"/>
      <c r="C89" s="267"/>
      <c r="D89" s="273" t="s">
        <v>192</v>
      </c>
      <c r="E89" s="19"/>
      <c r="F89" s="19"/>
      <c r="G89" s="19">
        <v>101.19</v>
      </c>
      <c r="H89" s="19"/>
      <c r="I89" s="19"/>
      <c r="J89" s="19"/>
      <c r="K89" s="19">
        <f>SUM(E89:J89)</f>
        <v>101.19</v>
      </c>
      <c r="L89" s="287"/>
      <c r="M89" s="287"/>
      <c r="N89" s="287"/>
      <c r="O89" s="287"/>
      <c r="P89" s="287"/>
      <c r="Q89" s="287"/>
      <c r="R89" s="288">
        <f>SUM(L89:Q89)*1.5</f>
        <v>0</v>
      </c>
      <c r="S89" s="287">
        <f>E89+F89+G89+H89+I89+J89+R89</f>
        <v>101.19</v>
      </c>
      <c r="T89" s="287"/>
      <c r="U89" s="287"/>
      <c r="V89" s="287"/>
      <c r="W89" s="287"/>
      <c r="X89" s="288">
        <f>SUM(U89:W89)*1.5</f>
        <v>0</v>
      </c>
      <c r="Y89" s="287">
        <f>T89+X89</f>
        <v>0</v>
      </c>
      <c r="Z89" s="287">
        <f>S89+Y89</f>
        <v>101.19</v>
      </c>
      <c r="AA89" s="287">
        <f>Z89/2</f>
        <v>50.595</v>
      </c>
    </row>
    <row r="90" spans="1:27" ht="19.5">
      <c r="A90" s="281"/>
      <c r="B90" s="265" t="s">
        <v>200</v>
      </c>
      <c r="C90" s="265"/>
      <c r="D90" s="271"/>
      <c r="E90" s="289">
        <f>SUM(E91)</f>
        <v>426.32000000000005</v>
      </c>
      <c r="F90" s="289">
        <f aca="true" t="shared" si="49" ref="F90:Q90">SUM(F91)</f>
        <v>0</v>
      </c>
      <c r="G90" s="289">
        <f t="shared" si="49"/>
        <v>325.35</v>
      </c>
      <c r="H90" s="289">
        <f t="shared" si="49"/>
        <v>137.15</v>
      </c>
      <c r="I90" s="289">
        <f t="shared" si="49"/>
        <v>0</v>
      </c>
      <c r="J90" s="289">
        <f t="shared" si="49"/>
        <v>17.67</v>
      </c>
      <c r="K90" s="289">
        <f t="shared" si="49"/>
        <v>906.49</v>
      </c>
      <c r="L90" s="289">
        <f t="shared" si="49"/>
        <v>0</v>
      </c>
      <c r="M90" s="289">
        <f t="shared" si="49"/>
        <v>0</v>
      </c>
      <c r="N90" s="289">
        <f t="shared" si="49"/>
        <v>4.5</v>
      </c>
      <c r="O90" s="289">
        <f t="shared" si="49"/>
        <v>43.5</v>
      </c>
      <c r="P90" s="289">
        <f t="shared" si="49"/>
        <v>0.25</v>
      </c>
      <c r="Q90" s="289">
        <f t="shared" si="49"/>
        <v>0</v>
      </c>
      <c r="R90" s="289">
        <f>SUM(R91)</f>
        <v>72.375</v>
      </c>
      <c r="S90" s="289">
        <f>SUM(S91)</f>
        <v>978.865</v>
      </c>
      <c r="T90" s="289">
        <f aca="true" t="shared" si="50" ref="T90:AA90">SUM(T91)</f>
        <v>0</v>
      </c>
      <c r="U90" s="289">
        <f t="shared" si="50"/>
        <v>0</v>
      </c>
      <c r="V90" s="289">
        <f t="shared" si="50"/>
        <v>0</v>
      </c>
      <c r="W90" s="289">
        <f t="shared" si="50"/>
        <v>0</v>
      </c>
      <c r="X90" s="289">
        <f t="shared" si="50"/>
        <v>0</v>
      </c>
      <c r="Y90" s="289">
        <f t="shared" si="50"/>
        <v>0</v>
      </c>
      <c r="Z90" s="289">
        <f t="shared" si="50"/>
        <v>978.865</v>
      </c>
      <c r="AA90" s="289">
        <f t="shared" si="50"/>
        <v>489.4325</v>
      </c>
    </row>
    <row r="91" spans="1:27" ht="19.5">
      <c r="A91" s="281"/>
      <c r="B91" s="267"/>
      <c r="C91" s="267"/>
      <c r="D91" s="273" t="s">
        <v>193</v>
      </c>
      <c r="E91" s="19">
        <f>31.17+271.47+123.68</f>
        <v>426.32000000000005</v>
      </c>
      <c r="F91" s="19"/>
      <c r="G91" s="19">
        <v>325.35</v>
      </c>
      <c r="H91" s="19">
        <f>24.66+112.49</f>
        <v>137.15</v>
      </c>
      <c r="I91" s="19"/>
      <c r="J91" s="19">
        <v>17.67</v>
      </c>
      <c r="K91" s="19">
        <f>SUM(E91:J91)</f>
        <v>906.49</v>
      </c>
      <c r="L91" s="287"/>
      <c r="M91" s="287"/>
      <c r="N91" s="19">
        <v>4.5</v>
      </c>
      <c r="O91" s="19">
        <v>43.5</v>
      </c>
      <c r="P91" s="19">
        <v>0.25</v>
      </c>
      <c r="Q91" s="19"/>
      <c r="R91" s="288">
        <f>SUM(L91:Q91)*1.5</f>
        <v>72.375</v>
      </c>
      <c r="S91" s="287">
        <f>E91+F91+G91+H91+I91+J91+R91</f>
        <v>978.865</v>
      </c>
      <c r="T91" s="287"/>
      <c r="U91" s="287"/>
      <c r="V91" s="287"/>
      <c r="W91" s="287"/>
      <c r="X91" s="288">
        <f>SUM(U91:W91)*1.5</f>
        <v>0</v>
      </c>
      <c r="Y91" s="287">
        <f>T91+X91</f>
        <v>0</v>
      </c>
      <c r="Z91" s="287">
        <f>S91+Y91</f>
        <v>978.865</v>
      </c>
      <c r="AA91" s="287">
        <f>Z91/2</f>
        <v>489.4325</v>
      </c>
    </row>
    <row r="92" spans="1:27" ht="19.5">
      <c r="A92" s="281"/>
      <c r="B92" s="265" t="s">
        <v>199</v>
      </c>
      <c r="C92" s="265"/>
      <c r="D92" s="271"/>
      <c r="E92" s="289">
        <f>SUM(E93)</f>
        <v>32.66</v>
      </c>
      <c r="F92" s="289">
        <f aca="true" t="shared" si="51" ref="F92:Q92">SUM(F93)</f>
        <v>0</v>
      </c>
      <c r="G92" s="289">
        <f t="shared" si="51"/>
        <v>112.59</v>
      </c>
      <c r="H92" s="289">
        <f t="shared" si="51"/>
        <v>0</v>
      </c>
      <c r="I92" s="289">
        <f t="shared" si="51"/>
        <v>0</v>
      </c>
      <c r="J92" s="289">
        <f t="shared" si="51"/>
        <v>0</v>
      </c>
      <c r="K92" s="289">
        <f t="shared" si="51"/>
        <v>145.25</v>
      </c>
      <c r="L92" s="289">
        <f t="shared" si="51"/>
        <v>0</v>
      </c>
      <c r="M92" s="289">
        <f t="shared" si="51"/>
        <v>0</v>
      </c>
      <c r="N92" s="289">
        <f t="shared" si="51"/>
        <v>0</v>
      </c>
      <c r="O92" s="289">
        <f t="shared" si="51"/>
        <v>0</v>
      </c>
      <c r="P92" s="289">
        <f t="shared" si="51"/>
        <v>0</v>
      </c>
      <c r="Q92" s="289">
        <f t="shared" si="51"/>
        <v>0</v>
      </c>
      <c r="R92" s="289">
        <f>SUM(R93)</f>
        <v>0</v>
      </c>
      <c r="S92" s="289">
        <f>SUM(S93)</f>
        <v>145.25</v>
      </c>
      <c r="T92" s="289">
        <f aca="true" t="shared" si="52" ref="T92:AA92">SUM(T93)</f>
        <v>0</v>
      </c>
      <c r="U92" s="289">
        <f t="shared" si="52"/>
        <v>0</v>
      </c>
      <c r="V92" s="289">
        <f t="shared" si="52"/>
        <v>0</v>
      </c>
      <c r="W92" s="289">
        <f t="shared" si="52"/>
        <v>0</v>
      </c>
      <c r="X92" s="289">
        <f t="shared" si="52"/>
        <v>0</v>
      </c>
      <c r="Y92" s="289">
        <f t="shared" si="52"/>
        <v>0</v>
      </c>
      <c r="Z92" s="289">
        <f t="shared" si="52"/>
        <v>145.25</v>
      </c>
      <c r="AA92" s="289">
        <f t="shared" si="52"/>
        <v>72.625</v>
      </c>
    </row>
    <row r="93" spans="1:27" ht="19.5">
      <c r="A93" s="281"/>
      <c r="B93" s="267"/>
      <c r="C93" s="267"/>
      <c r="D93" s="273" t="s">
        <v>198</v>
      </c>
      <c r="E93" s="73">
        <v>32.66</v>
      </c>
      <c r="F93" s="73"/>
      <c r="G93" s="73">
        <v>112.59</v>
      </c>
      <c r="H93" s="73"/>
      <c r="I93" s="73"/>
      <c r="J93" s="73"/>
      <c r="K93" s="73">
        <f>SUM(E93:J93)</f>
        <v>145.25</v>
      </c>
      <c r="L93" s="287"/>
      <c r="M93" s="287"/>
      <c r="N93" s="287"/>
      <c r="O93" s="287"/>
      <c r="P93" s="287"/>
      <c r="Q93" s="287"/>
      <c r="R93" s="288">
        <f>SUM(L93:Q93)*1.5</f>
        <v>0</v>
      </c>
      <c r="S93" s="287">
        <f>E93+F93+G93+H93+I93+J93+R93</f>
        <v>145.25</v>
      </c>
      <c r="T93" s="287"/>
      <c r="U93" s="287"/>
      <c r="V93" s="287"/>
      <c r="W93" s="287"/>
      <c r="X93" s="288">
        <f>SUM(U93:W93)*1.5</f>
        <v>0</v>
      </c>
      <c r="Y93" s="287">
        <f>T93+X93</f>
        <v>0</v>
      </c>
      <c r="Z93" s="287">
        <f>S93+Y93</f>
        <v>145.25</v>
      </c>
      <c r="AA93" s="287">
        <f>Z93/2</f>
        <v>72.625</v>
      </c>
    </row>
    <row r="94" spans="1:27" ht="19.5">
      <c r="A94" s="279" t="s">
        <v>271</v>
      </c>
      <c r="B94" s="279"/>
      <c r="C94" s="279"/>
      <c r="D94" s="280"/>
      <c r="E94" s="300">
        <f>SUM(E95+E97)</f>
        <v>0</v>
      </c>
      <c r="F94" s="300">
        <f aca="true" t="shared" si="53" ref="F94:Q94">SUM(F95+F97)</f>
        <v>0</v>
      </c>
      <c r="G94" s="300">
        <f t="shared" si="53"/>
        <v>0</v>
      </c>
      <c r="H94" s="300">
        <f t="shared" si="53"/>
        <v>0</v>
      </c>
      <c r="I94" s="300">
        <f t="shared" si="53"/>
        <v>0</v>
      </c>
      <c r="J94" s="300">
        <f t="shared" si="53"/>
        <v>0</v>
      </c>
      <c r="K94" s="300">
        <f t="shared" si="53"/>
        <v>0</v>
      </c>
      <c r="L94" s="300">
        <f t="shared" si="53"/>
        <v>0</v>
      </c>
      <c r="M94" s="300">
        <f t="shared" si="53"/>
        <v>0</v>
      </c>
      <c r="N94" s="300">
        <f t="shared" si="53"/>
        <v>7.5</v>
      </c>
      <c r="O94" s="300">
        <f t="shared" si="53"/>
        <v>27.5</v>
      </c>
      <c r="P94" s="300">
        <f t="shared" si="53"/>
        <v>0</v>
      </c>
      <c r="Q94" s="300">
        <f t="shared" si="53"/>
        <v>0</v>
      </c>
      <c r="R94" s="300">
        <f>SUM(R95+R97)</f>
        <v>52.5</v>
      </c>
      <c r="S94" s="300">
        <f>SUM(S95+S97)</f>
        <v>52.5</v>
      </c>
      <c r="T94" s="300">
        <f aca="true" t="shared" si="54" ref="T94:AA94">SUM(T95+T97)</f>
        <v>0</v>
      </c>
      <c r="U94" s="300">
        <f t="shared" si="54"/>
        <v>0</v>
      </c>
      <c r="V94" s="300">
        <f t="shared" si="54"/>
        <v>0</v>
      </c>
      <c r="W94" s="300">
        <f t="shared" si="54"/>
        <v>0</v>
      </c>
      <c r="X94" s="300">
        <f t="shared" si="54"/>
        <v>0</v>
      </c>
      <c r="Y94" s="300">
        <f t="shared" si="54"/>
        <v>0</v>
      </c>
      <c r="Z94" s="300">
        <f t="shared" si="54"/>
        <v>52.5</v>
      </c>
      <c r="AA94" s="300">
        <f t="shared" si="54"/>
        <v>26.25</v>
      </c>
    </row>
    <row r="95" spans="1:27" ht="19.5">
      <c r="A95" s="281"/>
      <c r="B95" s="267" t="s">
        <v>264</v>
      </c>
      <c r="C95" s="267"/>
      <c r="D95" s="273"/>
      <c r="E95" s="289"/>
      <c r="F95" s="289"/>
      <c r="G95" s="289"/>
      <c r="H95" s="289"/>
      <c r="I95" s="289"/>
      <c r="J95" s="289"/>
      <c r="K95" s="289">
        <f>SUM(E95:J95)</f>
        <v>0</v>
      </c>
      <c r="L95" s="287"/>
      <c r="M95" s="287"/>
      <c r="N95" s="252">
        <f>1.5+1.5+1.5+1.5</f>
        <v>6</v>
      </c>
      <c r="O95" s="252">
        <v>12</v>
      </c>
      <c r="P95" s="287"/>
      <c r="Q95" s="287"/>
      <c r="R95" s="288">
        <f>SUM(L95:Q95)*1.5</f>
        <v>27</v>
      </c>
      <c r="S95" s="287">
        <f>E95+F95+G95+H95+I95+J95+R95</f>
        <v>27</v>
      </c>
      <c r="T95" s="287"/>
      <c r="U95" s="287"/>
      <c r="V95" s="287"/>
      <c r="W95" s="287"/>
      <c r="X95" s="288">
        <f>SUM(U95:W95)*1.5</f>
        <v>0</v>
      </c>
      <c r="Y95" s="287">
        <f>T95+X95</f>
        <v>0</v>
      </c>
      <c r="Z95" s="287">
        <f>S95+Y95</f>
        <v>27</v>
      </c>
      <c r="AA95" s="287">
        <f>Z95/2</f>
        <v>13.5</v>
      </c>
    </row>
    <row r="96" spans="1:27" ht="19.5">
      <c r="A96" s="311"/>
      <c r="B96" s="312"/>
      <c r="C96" s="312"/>
      <c r="D96" s="319" t="s">
        <v>197</v>
      </c>
      <c r="E96" s="314"/>
      <c r="F96" s="314"/>
      <c r="G96" s="314"/>
      <c r="H96" s="314"/>
      <c r="I96" s="314"/>
      <c r="J96" s="314"/>
      <c r="K96" s="314">
        <f>SUM(E96:J96)</f>
        <v>0</v>
      </c>
      <c r="L96" s="315"/>
      <c r="M96" s="315"/>
      <c r="N96" s="103">
        <v>2</v>
      </c>
      <c r="O96" s="103"/>
      <c r="P96" s="315"/>
      <c r="Q96" s="315"/>
      <c r="R96" s="316">
        <f>SUM(L96:Q96)*1.5</f>
        <v>3</v>
      </c>
      <c r="S96" s="315">
        <f>E96+F96+G96+H96+I96+J96+R96</f>
        <v>3</v>
      </c>
      <c r="T96" s="315"/>
      <c r="U96" s="315"/>
      <c r="V96" s="315"/>
      <c r="W96" s="315"/>
      <c r="X96" s="316">
        <f>SUM(U96:W96)*1.5</f>
        <v>0</v>
      </c>
      <c r="Y96" s="315">
        <f>T96+X96</f>
        <v>0</v>
      </c>
      <c r="Z96" s="315">
        <f>S96+Y96</f>
        <v>3</v>
      </c>
      <c r="AA96" s="315">
        <f>Z96/2</f>
        <v>1.5</v>
      </c>
    </row>
    <row r="97" spans="1:27" ht="19.5">
      <c r="A97" s="281"/>
      <c r="B97" s="267" t="s">
        <v>265</v>
      </c>
      <c r="C97" s="267"/>
      <c r="D97" s="273"/>
      <c r="E97" s="289"/>
      <c r="F97" s="289"/>
      <c r="G97" s="289"/>
      <c r="H97" s="289"/>
      <c r="I97" s="289"/>
      <c r="J97" s="289"/>
      <c r="K97" s="289">
        <f>SUM(E97:J97)</f>
        <v>0</v>
      </c>
      <c r="L97" s="287"/>
      <c r="M97" s="287"/>
      <c r="N97" s="252">
        <v>1.5</v>
      </c>
      <c r="O97" s="252">
        <f>2.75+2.75+2.75+7.25</f>
        <v>15.5</v>
      </c>
      <c r="P97" s="287"/>
      <c r="Q97" s="287"/>
      <c r="R97" s="288">
        <f>SUM(L97:Q97)*1.5</f>
        <v>25.5</v>
      </c>
      <c r="S97" s="287">
        <f>E97+F97+G97+H97+I97+J97+R97</f>
        <v>25.5</v>
      </c>
      <c r="T97" s="287"/>
      <c r="U97" s="287"/>
      <c r="V97" s="287"/>
      <c r="W97" s="287"/>
      <c r="X97" s="288">
        <f>SUM(U97:W97)*1.5</f>
        <v>0</v>
      </c>
      <c r="Y97" s="287">
        <f>T97+X97</f>
        <v>0</v>
      </c>
      <c r="Z97" s="287">
        <f>S97+Y97</f>
        <v>25.5</v>
      </c>
      <c r="AA97" s="287">
        <f>Z97/2</f>
        <v>12.75</v>
      </c>
    </row>
    <row r="98" spans="1:27" ht="19.5">
      <c r="A98" s="311"/>
      <c r="B98" s="312"/>
      <c r="C98" s="312"/>
      <c r="D98" s="319" t="s">
        <v>197</v>
      </c>
      <c r="E98" s="314"/>
      <c r="F98" s="314"/>
      <c r="G98" s="314"/>
      <c r="H98" s="314"/>
      <c r="I98" s="314"/>
      <c r="J98" s="314"/>
      <c r="K98" s="314">
        <f>SUM(E98:J98)</f>
        <v>0</v>
      </c>
      <c r="L98" s="315"/>
      <c r="M98" s="315"/>
      <c r="N98" s="315"/>
      <c r="O98" s="315">
        <v>4</v>
      </c>
      <c r="P98" s="315"/>
      <c r="Q98" s="315"/>
      <c r="R98" s="316">
        <f>SUM(L98:Q98)*1.5</f>
        <v>6</v>
      </c>
      <c r="S98" s="315">
        <f>E98+F98+G98+H98+I98+J98+R98</f>
        <v>6</v>
      </c>
      <c r="T98" s="315"/>
      <c r="U98" s="315"/>
      <c r="V98" s="315"/>
      <c r="W98" s="315"/>
      <c r="X98" s="316">
        <f>SUM(U98:W98)*1.5</f>
        <v>0</v>
      </c>
      <c r="Y98" s="315">
        <f>T98+X98</f>
        <v>0</v>
      </c>
      <c r="Z98" s="315">
        <f>S98+Y98</f>
        <v>6</v>
      </c>
      <c r="AA98" s="315">
        <f>Z98/2</f>
        <v>3</v>
      </c>
    </row>
    <row r="99" spans="1:27" ht="19.5">
      <c r="A99" s="279" t="s">
        <v>272</v>
      </c>
      <c r="B99" s="279"/>
      <c r="C99" s="279"/>
      <c r="D99" s="280"/>
      <c r="E99" s="286">
        <f>SUM(E100+E104+E107+E111+E117+E120)</f>
        <v>0</v>
      </c>
      <c r="F99" s="286">
        <f aca="true" t="shared" si="55" ref="F99:Q99">SUM(F100+F104+F107+F111+F117+F120)</f>
        <v>0</v>
      </c>
      <c r="G99" s="286">
        <f t="shared" si="55"/>
        <v>551.73</v>
      </c>
      <c r="H99" s="286">
        <f t="shared" si="55"/>
        <v>85.67</v>
      </c>
      <c r="I99" s="286">
        <f t="shared" si="55"/>
        <v>1235.9599999999998</v>
      </c>
      <c r="J99" s="286">
        <f t="shared" si="55"/>
        <v>0</v>
      </c>
      <c r="K99" s="286">
        <f t="shared" si="55"/>
        <v>2110.98</v>
      </c>
      <c r="L99" s="286">
        <f t="shared" si="55"/>
        <v>0</v>
      </c>
      <c r="M99" s="286">
        <f t="shared" si="55"/>
        <v>0</v>
      </c>
      <c r="N99" s="286">
        <f t="shared" si="55"/>
        <v>9.92</v>
      </c>
      <c r="O99" s="286">
        <f t="shared" si="55"/>
        <v>2</v>
      </c>
      <c r="P99" s="286">
        <f t="shared" si="55"/>
        <v>0</v>
      </c>
      <c r="Q99" s="286">
        <f t="shared" si="55"/>
        <v>0</v>
      </c>
      <c r="R99" s="286">
        <f>SUM(R100+R104+R107+R111+R117+R120)</f>
        <v>29.8</v>
      </c>
      <c r="S99" s="286">
        <f>SUM(S100+S104+S107+S111+S117+S120)</f>
        <v>2140.7799999999997</v>
      </c>
      <c r="T99" s="286">
        <f aca="true" t="shared" si="56" ref="T99:AA99">SUM(T100+T104+T107+T111+T117+T120)</f>
        <v>0</v>
      </c>
      <c r="U99" s="286">
        <f t="shared" si="56"/>
        <v>0</v>
      </c>
      <c r="V99" s="286">
        <f t="shared" si="56"/>
        <v>0</v>
      </c>
      <c r="W99" s="286">
        <f t="shared" si="56"/>
        <v>0</v>
      </c>
      <c r="X99" s="286">
        <f t="shared" si="56"/>
        <v>0</v>
      </c>
      <c r="Y99" s="286">
        <f t="shared" si="56"/>
        <v>0</v>
      </c>
      <c r="Z99" s="286">
        <f t="shared" si="56"/>
        <v>2097.33</v>
      </c>
      <c r="AA99" s="286">
        <f t="shared" si="56"/>
        <v>1048.665</v>
      </c>
    </row>
    <row r="100" spans="1:27" ht="19.5">
      <c r="A100" s="281"/>
      <c r="B100" s="265" t="s">
        <v>263</v>
      </c>
      <c r="C100" s="267"/>
      <c r="D100" s="273"/>
      <c r="E100" s="292">
        <f>SUM(E101:E102)</f>
        <v>0</v>
      </c>
      <c r="F100" s="292"/>
      <c r="G100" s="292"/>
      <c r="H100" s="292"/>
      <c r="I100" s="292">
        <f>SUM(I101:I102)</f>
        <v>177.19</v>
      </c>
      <c r="J100" s="292">
        <f>SUM(J101:J102)</f>
        <v>0</v>
      </c>
      <c r="K100" s="292">
        <f>SUM(K101:K102)</f>
        <v>414.81</v>
      </c>
      <c r="L100" s="292">
        <f aca="true" t="shared" si="57" ref="L100:AA100">SUM(L101:L102)</f>
        <v>0</v>
      </c>
      <c r="M100" s="292">
        <f>SUM(M101:M102)</f>
        <v>0</v>
      </c>
      <c r="N100" s="292">
        <f t="shared" si="57"/>
        <v>0.17</v>
      </c>
      <c r="O100" s="292">
        <f t="shared" si="57"/>
        <v>0</v>
      </c>
      <c r="P100" s="292">
        <f t="shared" si="57"/>
        <v>0</v>
      </c>
      <c r="Q100" s="292"/>
      <c r="R100" s="292">
        <f>SUM(R101:R102)</f>
        <v>0.42500000000000004</v>
      </c>
      <c r="S100" s="292">
        <f>SUM(S101:S102)</f>
        <v>415.235</v>
      </c>
      <c r="T100" s="292">
        <f t="shared" si="57"/>
        <v>0</v>
      </c>
      <c r="U100" s="292">
        <f t="shared" si="57"/>
        <v>0</v>
      </c>
      <c r="V100" s="292">
        <f t="shared" si="57"/>
        <v>0</v>
      </c>
      <c r="W100" s="292">
        <f t="shared" si="57"/>
        <v>0</v>
      </c>
      <c r="X100" s="292">
        <f t="shared" si="57"/>
        <v>0</v>
      </c>
      <c r="Y100" s="292">
        <f t="shared" si="57"/>
        <v>0</v>
      </c>
      <c r="Z100" s="292">
        <f t="shared" si="57"/>
        <v>415.235</v>
      </c>
      <c r="AA100" s="292">
        <f t="shared" si="57"/>
        <v>207.6175</v>
      </c>
    </row>
    <row r="101" spans="1:27" ht="19.5">
      <c r="A101" s="281"/>
      <c r="B101" s="267"/>
      <c r="C101" s="267"/>
      <c r="D101" s="273" t="s">
        <v>216</v>
      </c>
      <c r="E101" s="19"/>
      <c r="F101" s="19"/>
      <c r="G101" s="19">
        <v>157.56</v>
      </c>
      <c r="H101" s="19"/>
      <c r="I101" s="19">
        <v>137.2</v>
      </c>
      <c r="J101" s="19"/>
      <c r="K101" s="19">
        <f>SUM(E101:J101)</f>
        <v>294.76</v>
      </c>
      <c r="L101" s="19"/>
      <c r="M101" s="19"/>
      <c r="N101" s="19">
        <v>0.17</v>
      </c>
      <c r="O101" s="19"/>
      <c r="P101" s="287"/>
      <c r="Q101" s="287"/>
      <c r="R101" s="288">
        <f>SUM(L101:Q101)*2.5</f>
        <v>0.42500000000000004</v>
      </c>
      <c r="S101" s="288">
        <f>E101+F101+G101+H101+I101+J101+R101</f>
        <v>295.185</v>
      </c>
      <c r="T101" s="287"/>
      <c r="U101" s="287"/>
      <c r="V101" s="287"/>
      <c r="W101" s="287"/>
      <c r="X101" s="288">
        <f>SUM(U101:W101)*2.5</f>
        <v>0</v>
      </c>
      <c r="Y101" s="288">
        <f>T101+X101</f>
        <v>0</v>
      </c>
      <c r="Z101" s="288">
        <f>S101+Y101</f>
        <v>295.185</v>
      </c>
      <c r="AA101" s="288">
        <f>Z101/2</f>
        <v>147.5925</v>
      </c>
    </row>
    <row r="102" spans="1:27" ht="19.5">
      <c r="A102" s="281"/>
      <c r="B102" s="267"/>
      <c r="C102" s="267"/>
      <c r="D102" s="273" t="s">
        <v>217</v>
      </c>
      <c r="E102" s="19"/>
      <c r="F102" s="19"/>
      <c r="G102" s="19">
        <f>26.67+4.39</f>
        <v>31.060000000000002</v>
      </c>
      <c r="H102" s="19">
        <v>49</v>
      </c>
      <c r="I102" s="19">
        <v>39.99</v>
      </c>
      <c r="J102" s="19"/>
      <c r="K102" s="19">
        <f>SUM(E102:J102)</f>
        <v>120.05000000000001</v>
      </c>
      <c r="L102" s="287"/>
      <c r="M102" s="287"/>
      <c r="N102" s="19"/>
      <c r="O102" s="19"/>
      <c r="P102" s="287"/>
      <c r="Q102" s="287"/>
      <c r="R102" s="287">
        <f>SUM(L102:Q102)*2.5</f>
        <v>0</v>
      </c>
      <c r="S102" s="288">
        <f>E102+F102+G102+H102+I102+J102+R102</f>
        <v>120.05000000000001</v>
      </c>
      <c r="T102" s="287"/>
      <c r="U102" s="287"/>
      <c r="V102" s="287"/>
      <c r="W102" s="287"/>
      <c r="X102" s="288">
        <f>SUM(U102:W102)*2.5</f>
        <v>0</v>
      </c>
      <c r="Y102" s="288">
        <f>T102+X102</f>
        <v>0</v>
      </c>
      <c r="Z102" s="288">
        <f>S102+Y102</f>
        <v>120.05000000000001</v>
      </c>
      <c r="AA102" s="288">
        <f>Z102/2</f>
        <v>60.025000000000006</v>
      </c>
    </row>
    <row r="103" spans="1:27" ht="19.5">
      <c r="A103" s="311"/>
      <c r="B103" s="312"/>
      <c r="C103" s="312"/>
      <c r="D103" s="319" t="s">
        <v>197</v>
      </c>
      <c r="E103" s="314"/>
      <c r="F103" s="314"/>
      <c r="G103" s="314"/>
      <c r="H103" s="314"/>
      <c r="I103" s="314"/>
      <c r="J103" s="314"/>
      <c r="K103" s="314">
        <f>SUM(E103:J103)</f>
        <v>0</v>
      </c>
      <c r="L103" s="315"/>
      <c r="M103" s="315"/>
      <c r="N103" s="314">
        <v>1</v>
      </c>
      <c r="O103" s="314"/>
      <c r="P103" s="315"/>
      <c r="Q103" s="315"/>
      <c r="R103" s="315">
        <f>SUM(L103:Q103)*2.5</f>
        <v>2.5</v>
      </c>
      <c r="S103" s="315">
        <f>E103+F103+G103+H103+I103+J103+R103</f>
        <v>2.5</v>
      </c>
      <c r="T103" s="315"/>
      <c r="U103" s="315"/>
      <c r="V103" s="315"/>
      <c r="W103" s="315"/>
      <c r="X103" s="316">
        <f>SUM(U103:W103)*2.5</f>
        <v>0</v>
      </c>
      <c r="Y103" s="316">
        <f>T103+X103</f>
        <v>0</v>
      </c>
      <c r="Z103" s="316">
        <f>S103+Y103</f>
        <v>2.5</v>
      </c>
      <c r="AA103" s="316">
        <f>Z103/2</f>
        <v>1.25</v>
      </c>
    </row>
    <row r="104" spans="1:27" ht="19.5">
      <c r="A104" s="281"/>
      <c r="B104" s="265" t="s">
        <v>219</v>
      </c>
      <c r="C104" s="267"/>
      <c r="D104" s="273"/>
      <c r="E104" s="289">
        <f>SUM(E105:E106)</f>
        <v>0</v>
      </c>
      <c r="F104" s="289">
        <f aca="true" t="shared" si="58" ref="F104:Q104">SUM(F105:F106)</f>
        <v>0</v>
      </c>
      <c r="G104" s="289">
        <f t="shared" si="58"/>
        <v>40</v>
      </c>
      <c r="H104" s="289">
        <f t="shared" si="58"/>
        <v>13</v>
      </c>
      <c r="I104" s="289">
        <f t="shared" si="58"/>
        <v>218.93</v>
      </c>
      <c r="J104" s="289">
        <f t="shared" si="58"/>
        <v>0</v>
      </c>
      <c r="K104" s="289">
        <f t="shared" si="58"/>
        <v>271.93</v>
      </c>
      <c r="L104" s="289">
        <f t="shared" si="58"/>
        <v>0</v>
      </c>
      <c r="M104" s="289">
        <f t="shared" si="58"/>
        <v>0</v>
      </c>
      <c r="N104" s="289">
        <f t="shared" si="58"/>
        <v>0</v>
      </c>
      <c r="O104" s="289">
        <f t="shared" si="58"/>
        <v>0</v>
      </c>
      <c r="P104" s="289">
        <f t="shared" si="58"/>
        <v>0</v>
      </c>
      <c r="Q104" s="289">
        <f t="shared" si="58"/>
        <v>0</v>
      </c>
      <c r="R104" s="289">
        <f>SUM(R105:R106)</f>
        <v>0</v>
      </c>
      <c r="S104" s="289">
        <f>SUM(S105:S106)</f>
        <v>271.93</v>
      </c>
      <c r="T104" s="289">
        <f aca="true" t="shared" si="59" ref="T104:AA104">SUM(T105:T106)</f>
        <v>0</v>
      </c>
      <c r="U104" s="289">
        <f t="shared" si="59"/>
        <v>0</v>
      </c>
      <c r="V104" s="289">
        <f t="shared" si="59"/>
        <v>0</v>
      </c>
      <c r="W104" s="289">
        <f t="shared" si="59"/>
        <v>0</v>
      </c>
      <c r="X104" s="289">
        <f t="shared" si="59"/>
        <v>0</v>
      </c>
      <c r="Y104" s="289">
        <f t="shared" si="59"/>
        <v>0</v>
      </c>
      <c r="Z104" s="289">
        <f t="shared" si="59"/>
        <v>271.93</v>
      </c>
      <c r="AA104" s="289">
        <f t="shared" si="59"/>
        <v>135.965</v>
      </c>
    </row>
    <row r="105" spans="1:27" ht="19.5">
      <c r="A105" s="281"/>
      <c r="B105" s="267"/>
      <c r="C105" s="267"/>
      <c r="D105" s="273" t="s">
        <v>222</v>
      </c>
      <c r="E105" s="19"/>
      <c r="F105" s="19"/>
      <c r="G105" s="19">
        <f>40</f>
        <v>40</v>
      </c>
      <c r="H105" s="19">
        <v>13</v>
      </c>
      <c r="I105" s="19">
        <v>146.27</v>
      </c>
      <c r="J105" s="19"/>
      <c r="K105" s="19">
        <f>SUM(E105:J105)</f>
        <v>199.27</v>
      </c>
      <c r="L105" s="287"/>
      <c r="M105" s="287"/>
      <c r="N105" s="287"/>
      <c r="O105" s="287"/>
      <c r="P105" s="287"/>
      <c r="Q105" s="287"/>
      <c r="R105" s="288">
        <f>SUM(L105:Q105)*2.5</f>
        <v>0</v>
      </c>
      <c r="S105" s="288">
        <f>E105+F105+G105+H105+I105+J105+R105</f>
        <v>199.27</v>
      </c>
      <c r="T105" s="287"/>
      <c r="U105" s="287"/>
      <c r="V105" s="287"/>
      <c r="W105" s="287"/>
      <c r="X105" s="288">
        <f>SUM(U105:W105)*2.5</f>
        <v>0</v>
      </c>
      <c r="Y105" s="288">
        <f>T105+X105</f>
        <v>0</v>
      </c>
      <c r="Z105" s="288">
        <f>S105+Y105</f>
        <v>199.27</v>
      </c>
      <c r="AA105" s="288">
        <f>Z105/2</f>
        <v>99.635</v>
      </c>
    </row>
    <row r="106" spans="1:27" ht="19.5">
      <c r="A106" s="281"/>
      <c r="B106" s="267"/>
      <c r="C106" s="267"/>
      <c r="D106" s="273" t="s">
        <v>223</v>
      </c>
      <c r="E106" s="19"/>
      <c r="F106" s="19"/>
      <c r="G106" s="19"/>
      <c r="H106" s="19"/>
      <c r="I106" s="19">
        <v>72.66</v>
      </c>
      <c r="J106" s="19"/>
      <c r="K106" s="19">
        <f>SUM(E106:J106)</f>
        <v>72.66</v>
      </c>
      <c r="L106" s="287"/>
      <c r="M106" s="287"/>
      <c r="N106" s="287"/>
      <c r="O106" s="287"/>
      <c r="P106" s="287"/>
      <c r="Q106" s="287"/>
      <c r="R106" s="288">
        <f>SUM(L106:Q106)*2.5</f>
        <v>0</v>
      </c>
      <c r="S106" s="288">
        <f>E106+F106+G106+H106+I106+J106+R106</f>
        <v>72.66</v>
      </c>
      <c r="T106" s="287"/>
      <c r="U106" s="287"/>
      <c r="V106" s="287"/>
      <c r="W106" s="287"/>
      <c r="X106" s="288">
        <f>SUM(U106:W106)*2.5</f>
        <v>0</v>
      </c>
      <c r="Y106" s="288">
        <f>T106+X106</f>
        <v>0</v>
      </c>
      <c r="Z106" s="288">
        <f>S106+Y106</f>
        <v>72.66</v>
      </c>
      <c r="AA106" s="288">
        <f>Z106/2</f>
        <v>36.33</v>
      </c>
    </row>
    <row r="107" spans="1:27" ht="19.5">
      <c r="A107" s="281"/>
      <c r="B107" s="265" t="s">
        <v>218</v>
      </c>
      <c r="C107" s="267"/>
      <c r="D107" s="273"/>
      <c r="E107" s="292">
        <f>SUM(E108:E109)</f>
        <v>0</v>
      </c>
      <c r="F107" s="292">
        <f aca="true" t="shared" si="60" ref="F107:Q107">SUM(F108:F109)</f>
        <v>0</v>
      </c>
      <c r="G107" s="292">
        <f t="shared" si="60"/>
        <v>116.18</v>
      </c>
      <c r="H107" s="292">
        <f t="shared" si="60"/>
        <v>0</v>
      </c>
      <c r="I107" s="292">
        <f t="shared" si="60"/>
        <v>126.75</v>
      </c>
      <c r="J107" s="292">
        <f t="shared" si="60"/>
        <v>0</v>
      </c>
      <c r="K107" s="292">
        <f t="shared" si="60"/>
        <v>242.93</v>
      </c>
      <c r="L107" s="292">
        <f t="shared" si="60"/>
        <v>0</v>
      </c>
      <c r="M107" s="292">
        <f t="shared" si="60"/>
        <v>0</v>
      </c>
      <c r="N107" s="292">
        <f t="shared" si="60"/>
        <v>4.08</v>
      </c>
      <c r="O107" s="292">
        <f t="shared" si="60"/>
        <v>0</v>
      </c>
      <c r="P107" s="292">
        <f t="shared" si="60"/>
        <v>0</v>
      </c>
      <c r="Q107" s="292">
        <f t="shared" si="60"/>
        <v>0</v>
      </c>
      <c r="R107" s="292">
        <f>SUM(R108:R109)</f>
        <v>10.2</v>
      </c>
      <c r="S107" s="292">
        <f>SUM(S108:S109)</f>
        <v>253.13</v>
      </c>
      <c r="T107" s="292">
        <f aca="true" t="shared" si="61" ref="T107:AA107">SUM(T108:T109)</f>
        <v>0</v>
      </c>
      <c r="U107" s="292">
        <f t="shared" si="61"/>
        <v>0</v>
      </c>
      <c r="V107" s="292">
        <f t="shared" si="61"/>
        <v>0</v>
      </c>
      <c r="W107" s="292">
        <f t="shared" si="61"/>
        <v>0</v>
      </c>
      <c r="X107" s="292">
        <f t="shared" si="61"/>
        <v>0</v>
      </c>
      <c r="Y107" s="292">
        <f t="shared" si="61"/>
        <v>0</v>
      </c>
      <c r="Z107" s="292">
        <f t="shared" si="61"/>
        <v>253.13</v>
      </c>
      <c r="AA107" s="292">
        <f t="shared" si="61"/>
        <v>126.565</v>
      </c>
    </row>
    <row r="108" spans="1:27" ht="19.5">
      <c r="A108" s="281"/>
      <c r="B108" s="267"/>
      <c r="C108" s="267"/>
      <c r="D108" s="273" t="s">
        <v>220</v>
      </c>
      <c r="E108" s="19"/>
      <c r="F108" s="19"/>
      <c r="G108" s="19">
        <f>12.67+103.51</f>
        <v>116.18</v>
      </c>
      <c r="H108" s="19"/>
      <c r="I108" s="19">
        <v>121.47</v>
      </c>
      <c r="J108" s="19"/>
      <c r="K108" s="19">
        <f>SUM(E108:J108)</f>
        <v>237.65</v>
      </c>
      <c r="L108" s="19"/>
      <c r="M108" s="19"/>
      <c r="N108" s="19">
        <f>0.75+0.75+0.75+0.33+0.75+0.75</f>
        <v>4.08</v>
      </c>
      <c r="O108" s="19"/>
      <c r="P108" s="287"/>
      <c r="Q108" s="287"/>
      <c r="R108" s="288">
        <f>SUM(L108:Q108)*2.5</f>
        <v>10.2</v>
      </c>
      <c r="S108" s="287">
        <f>E108+F108+G108+H108+I108+J108+R108</f>
        <v>247.85</v>
      </c>
      <c r="T108" s="287"/>
      <c r="U108" s="287"/>
      <c r="V108" s="287"/>
      <c r="W108" s="287"/>
      <c r="X108" s="288">
        <f>SUM(U108:W108)*2.5</f>
        <v>0</v>
      </c>
      <c r="Y108" s="288">
        <f>T108+X108</f>
        <v>0</v>
      </c>
      <c r="Z108" s="288">
        <f>S108+Y108</f>
        <v>247.85</v>
      </c>
      <c r="AA108" s="288">
        <f>Z108/2</f>
        <v>123.925</v>
      </c>
    </row>
    <row r="109" spans="1:27" ht="19.5">
      <c r="A109" s="281"/>
      <c r="B109" s="267"/>
      <c r="C109" s="267"/>
      <c r="D109" s="273" t="s">
        <v>221</v>
      </c>
      <c r="E109" s="19"/>
      <c r="F109" s="19"/>
      <c r="G109" s="19"/>
      <c r="H109" s="19"/>
      <c r="I109" s="19">
        <v>5.28</v>
      </c>
      <c r="J109" s="19"/>
      <c r="K109" s="19">
        <f>SUM(E109:J109)</f>
        <v>5.28</v>
      </c>
      <c r="L109" s="287"/>
      <c r="M109" s="287"/>
      <c r="N109" s="287"/>
      <c r="O109" s="287"/>
      <c r="P109" s="287"/>
      <c r="Q109" s="287"/>
      <c r="R109" s="288">
        <f>SUM(L109:Q109)*2.5</f>
        <v>0</v>
      </c>
      <c r="S109" s="287">
        <f>E109+F109+G109+H109+I109+J109+R109</f>
        <v>5.28</v>
      </c>
      <c r="T109" s="287"/>
      <c r="U109" s="287"/>
      <c r="V109" s="287"/>
      <c r="W109" s="287"/>
      <c r="X109" s="288">
        <f>SUM(U109:W109)*2.5</f>
        <v>0</v>
      </c>
      <c r="Y109" s="288">
        <f>T109+X109</f>
        <v>0</v>
      </c>
      <c r="Z109" s="288">
        <f>S109+Y109</f>
        <v>5.28</v>
      </c>
      <c r="AA109" s="288">
        <f>Z109/2</f>
        <v>2.64</v>
      </c>
    </row>
    <row r="110" spans="1:28" ht="19.5">
      <c r="A110" s="311"/>
      <c r="B110" s="312"/>
      <c r="C110" s="312"/>
      <c r="D110" s="319" t="s">
        <v>197</v>
      </c>
      <c r="E110" s="314"/>
      <c r="F110" s="314"/>
      <c r="G110" s="314"/>
      <c r="H110" s="314"/>
      <c r="I110" s="314"/>
      <c r="J110" s="314"/>
      <c r="K110" s="314">
        <f>SUM(E110:J110)</f>
        <v>0</v>
      </c>
      <c r="L110" s="315"/>
      <c r="M110" s="315"/>
      <c r="N110" s="23">
        <v>2.5</v>
      </c>
      <c r="O110" s="23"/>
      <c r="P110" s="315"/>
      <c r="Q110" s="315"/>
      <c r="R110" s="316">
        <f>SUM(L110:Q110)*2.5</f>
        <v>6.25</v>
      </c>
      <c r="S110" s="315">
        <f>E110+F110+G110+H110+I110+J110+R110</f>
        <v>6.25</v>
      </c>
      <c r="T110" s="315"/>
      <c r="U110" s="315"/>
      <c r="V110" s="315"/>
      <c r="W110" s="315"/>
      <c r="X110" s="316">
        <f>SUM(U110:W110)*2.5</f>
        <v>0</v>
      </c>
      <c r="Y110" s="316">
        <f>T110+X110</f>
        <v>0</v>
      </c>
      <c r="Z110" s="316">
        <f>S110+Y110</f>
        <v>6.25</v>
      </c>
      <c r="AA110" s="316">
        <f>Z110/2</f>
        <v>3.125</v>
      </c>
      <c r="AB110" s="417"/>
    </row>
    <row r="111" spans="1:27" ht="19.5">
      <c r="A111" s="281"/>
      <c r="B111" s="265" t="s">
        <v>178</v>
      </c>
      <c r="C111" s="267"/>
      <c r="D111" s="273"/>
      <c r="E111" s="292">
        <f>SUM(E112+E114+E115)</f>
        <v>0</v>
      </c>
      <c r="F111" s="292">
        <f aca="true" t="shared" si="62" ref="F111:Q111">SUM(F112+F114+F115)</f>
        <v>0</v>
      </c>
      <c r="G111" s="292">
        <f t="shared" si="62"/>
        <v>86.65</v>
      </c>
      <c r="H111" s="292">
        <f t="shared" si="62"/>
        <v>0</v>
      </c>
      <c r="I111" s="292">
        <f t="shared" si="62"/>
        <v>267.96</v>
      </c>
      <c r="J111" s="292">
        <f t="shared" si="62"/>
        <v>0</v>
      </c>
      <c r="K111" s="292">
        <f t="shared" si="62"/>
        <v>354.60999999999996</v>
      </c>
      <c r="L111" s="292">
        <f t="shared" si="62"/>
        <v>0</v>
      </c>
      <c r="M111" s="292">
        <f t="shared" si="62"/>
        <v>0</v>
      </c>
      <c r="N111" s="292">
        <f t="shared" si="62"/>
        <v>4.17</v>
      </c>
      <c r="O111" s="292">
        <f t="shared" si="62"/>
        <v>2</v>
      </c>
      <c r="P111" s="292">
        <f t="shared" si="62"/>
        <v>0</v>
      </c>
      <c r="Q111" s="292">
        <f t="shared" si="62"/>
        <v>0</v>
      </c>
      <c r="R111" s="292">
        <f>SUM(R112+R114+R115)</f>
        <v>15.425</v>
      </c>
      <c r="S111" s="292">
        <f>SUM(S112+S114+S115)</f>
        <v>370.03499999999997</v>
      </c>
      <c r="T111" s="292">
        <f aca="true" t="shared" si="63" ref="T111:AA111">SUM(T112+T114+T115)</f>
        <v>0</v>
      </c>
      <c r="U111" s="292">
        <f t="shared" si="63"/>
        <v>0</v>
      </c>
      <c r="V111" s="292">
        <f t="shared" si="63"/>
        <v>0</v>
      </c>
      <c r="W111" s="292">
        <f t="shared" si="63"/>
        <v>0</v>
      </c>
      <c r="X111" s="292">
        <f t="shared" si="63"/>
        <v>0</v>
      </c>
      <c r="Y111" s="292">
        <f t="shared" si="63"/>
        <v>0</v>
      </c>
      <c r="Z111" s="292">
        <f t="shared" si="63"/>
        <v>370.03499999999997</v>
      </c>
      <c r="AA111" s="292">
        <f t="shared" si="63"/>
        <v>185.01749999999998</v>
      </c>
    </row>
    <row r="112" spans="1:27" ht="19.5">
      <c r="A112" s="281"/>
      <c r="B112" s="267"/>
      <c r="C112" s="267"/>
      <c r="D112" s="273" t="s">
        <v>224</v>
      </c>
      <c r="E112" s="19"/>
      <c r="F112" s="19"/>
      <c r="G112" s="19">
        <f>5.22+81.43</f>
        <v>86.65</v>
      </c>
      <c r="H112" s="19"/>
      <c r="I112" s="19">
        <v>252</v>
      </c>
      <c r="J112" s="19"/>
      <c r="K112" s="19">
        <f>SUM(E112:J112)</f>
        <v>338.65</v>
      </c>
      <c r="L112" s="19"/>
      <c r="M112" s="19"/>
      <c r="N112" s="19">
        <f>0.25+0.17</f>
        <v>0.42000000000000004</v>
      </c>
      <c r="O112" s="19">
        <f>0.75+0.5+0.75</f>
        <v>2</v>
      </c>
      <c r="P112" s="287"/>
      <c r="Q112" s="287"/>
      <c r="R112" s="287">
        <f>SUM(L112:Q112)*2.5</f>
        <v>6.05</v>
      </c>
      <c r="S112" s="287">
        <f>E112+F112+G112+H112+I112+J112+R112</f>
        <v>344.7</v>
      </c>
      <c r="T112" s="287"/>
      <c r="U112" s="287"/>
      <c r="V112" s="287"/>
      <c r="W112" s="287"/>
      <c r="X112" s="288">
        <f>SUM(U112:W112)*2.5</f>
        <v>0</v>
      </c>
      <c r="Y112" s="288">
        <f>T112+X112</f>
        <v>0</v>
      </c>
      <c r="Z112" s="288">
        <f>S112+Y112</f>
        <v>344.7</v>
      </c>
      <c r="AA112" s="288">
        <f>Z112/2</f>
        <v>172.35</v>
      </c>
    </row>
    <row r="113" spans="1:27" ht="19.5">
      <c r="A113" s="311"/>
      <c r="B113" s="312"/>
      <c r="C113" s="312"/>
      <c r="D113" s="319" t="s">
        <v>197</v>
      </c>
      <c r="E113" s="314"/>
      <c r="F113" s="314"/>
      <c r="G113" s="314"/>
      <c r="H113" s="314"/>
      <c r="I113" s="314"/>
      <c r="J113" s="314"/>
      <c r="K113" s="314">
        <f>SUM(E113:J113)</f>
        <v>0</v>
      </c>
      <c r="L113" s="315"/>
      <c r="M113" s="315"/>
      <c r="N113" s="314">
        <v>0.5</v>
      </c>
      <c r="O113" s="314">
        <v>1.5</v>
      </c>
      <c r="P113" s="315"/>
      <c r="Q113" s="315"/>
      <c r="R113" s="315">
        <f>SUM(L113:Q113)*2.5</f>
        <v>5</v>
      </c>
      <c r="S113" s="315">
        <f>E113+F113+G113+H113+I113+J113+R113</f>
        <v>5</v>
      </c>
      <c r="T113" s="315"/>
      <c r="U113" s="315"/>
      <c r="V113" s="315"/>
      <c r="W113" s="315"/>
      <c r="X113" s="316">
        <f>SUM(U113:W113)*2.5</f>
        <v>0</v>
      </c>
      <c r="Y113" s="316">
        <f>T113+X113</f>
        <v>0</v>
      </c>
      <c r="Z113" s="316">
        <f>S113+Y113</f>
        <v>5</v>
      </c>
      <c r="AA113" s="316">
        <f>Z113/2</f>
        <v>2.5</v>
      </c>
    </row>
    <row r="114" spans="1:27" ht="19.5">
      <c r="A114" s="281"/>
      <c r="B114" s="267"/>
      <c r="C114" s="267"/>
      <c r="D114" s="273" t="s">
        <v>225</v>
      </c>
      <c r="E114" s="289"/>
      <c r="F114" s="289"/>
      <c r="G114" s="289"/>
      <c r="H114" s="289"/>
      <c r="I114" s="289"/>
      <c r="J114" s="289"/>
      <c r="K114" s="289">
        <f>SUM(E114:J114)</f>
        <v>0</v>
      </c>
      <c r="L114" s="287"/>
      <c r="M114" s="287"/>
      <c r="N114" s="251">
        <f>0.5+0.25+0.25+0.5+0.5+0.25+0.25+0.25+0.5+0.5</f>
        <v>3.75</v>
      </c>
      <c r="O114" s="251"/>
      <c r="P114" s="287"/>
      <c r="Q114" s="287"/>
      <c r="R114" s="287">
        <f>SUM(L114:Q114)*2.5</f>
        <v>9.375</v>
      </c>
      <c r="S114" s="287">
        <f>E114+F114+G114+H114+I114+J114+R114</f>
        <v>9.375</v>
      </c>
      <c r="T114" s="287"/>
      <c r="U114" s="287"/>
      <c r="V114" s="287"/>
      <c r="W114" s="287"/>
      <c r="X114" s="288">
        <f>SUM(U114:W114)*2.5</f>
        <v>0</v>
      </c>
      <c r="Y114" s="288">
        <f>T114+X114</f>
        <v>0</v>
      </c>
      <c r="Z114" s="288">
        <f>S114+Y114</f>
        <v>9.375</v>
      </c>
      <c r="AA114" s="288">
        <f>Z114/2</f>
        <v>4.6875</v>
      </c>
    </row>
    <row r="115" spans="1:27" ht="19.5">
      <c r="A115" s="281"/>
      <c r="B115" s="267"/>
      <c r="C115" s="267"/>
      <c r="D115" s="273" t="s">
        <v>226</v>
      </c>
      <c r="E115" s="19"/>
      <c r="F115" s="19"/>
      <c r="G115" s="19"/>
      <c r="H115" s="19"/>
      <c r="I115" s="19">
        <v>15.96</v>
      </c>
      <c r="J115" s="19"/>
      <c r="K115" s="19">
        <f>SUM(E115:J115)</f>
        <v>15.96</v>
      </c>
      <c r="L115" s="287"/>
      <c r="M115" s="287"/>
      <c r="N115" s="287"/>
      <c r="O115" s="287"/>
      <c r="P115" s="287"/>
      <c r="Q115" s="287"/>
      <c r="R115" s="287">
        <f>SUM(L115:Q115)*2.5</f>
        <v>0</v>
      </c>
      <c r="S115" s="287">
        <f>E115+F115+G115+H115+I115+J115+R115</f>
        <v>15.96</v>
      </c>
      <c r="T115" s="287"/>
      <c r="U115" s="287"/>
      <c r="V115" s="287"/>
      <c r="W115" s="287"/>
      <c r="X115" s="288">
        <f>SUM(U115:W115)*2.5</f>
        <v>0</v>
      </c>
      <c r="Y115" s="288">
        <f>T115+X115</f>
        <v>0</v>
      </c>
      <c r="Z115" s="288">
        <f>S115+Y115</f>
        <v>15.96</v>
      </c>
      <c r="AA115" s="288">
        <f>Z115/2</f>
        <v>7.98</v>
      </c>
    </row>
    <row r="116" spans="1:27" ht="19.5">
      <c r="A116" s="311"/>
      <c r="B116" s="312"/>
      <c r="C116" s="312"/>
      <c r="D116" s="319" t="s">
        <v>197</v>
      </c>
      <c r="E116" s="314"/>
      <c r="F116" s="314"/>
      <c r="G116" s="314"/>
      <c r="H116" s="314"/>
      <c r="I116" s="314"/>
      <c r="J116" s="314"/>
      <c r="K116" s="314">
        <f>SUM(E116:J116)</f>
        <v>0</v>
      </c>
      <c r="L116" s="315"/>
      <c r="M116" s="315"/>
      <c r="N116" s="315">
        <v>1.33</v>
      </c>
      <c r="O116" s="315"/>
      <c r="P116" s="315"/>
      <c r="Q116" s="315"/>
      <c r="R116" s="315">
        <f>SUM(L116:Q116)*2.5</f>
        <v>3.325</v>
      </c>
      <c r="S116" s="315">
        <f>E116+F116+G116+H116+I116+J116+R116</f>
        <v>3.325</v>
      </c>
      <c r="T116" s="315"/>
      <c r="U116" s="315"/>
      <c r="V116" s="315"/>
      <c r="W116" s="315"/>
      <c r="X116" s="316">
        <f>SUM(U116:W116)*2.5</f>
        <v>0</v>
      </c>
      <c r="Y116" s="316">
        <f>T116+X116</f>
        <v>0</v>
      </c>
      <c r="Z116" s="316">
        <f>S116+Y116</f>
        <v>3.325</v>
      </c>
      <c r="AA116" s="316">
        <f>Z116/2</f>
        <v>1.6625</v>
      </c>
    </row>
    <row r="117" spans="1:27" ht="19.5">
      <c r="A117" s="281"/>
      <c r="B117" s="265" t="s">
        <v>227</v>
      </c>
      <c r="C117" s="267"/>
      <c r="D117" s="273"/>
      <c r="E117" s="292">
        <f>SUM(E118)</f>
        <v>0</v>
      </c>
      <c r="F117" s="292">
        <f aca="true" t="shared" si="64" ref="F117:Q117">SUM(F118)</f>
        <v>0</v>
      </c>
      <c r="G117" s="292">
        <f t="shared" si="64"/>
        <v>67.78</v>
      </c>
      <c r="H117" s="292">
        <f t="shared" si="64"/>
        <v>0</v>
      </c>
      <c r="I117" s="292">
        <f t="shared" si="64"/>
        <v>331.76</v>
      </c>
      <c r="J117" s="292">
        <f t="shared" si="64"/>
        <v>0</v>
      </c>
      <c r="K117" s="292">
        <f t="shared" si="64"/>
        <v>399.53999999999996</v>
      </c>
      <c r="L117" s="292">
        <f t="shared" si="64"/>
        <v>0</v>
      </c>
      <c r="M117" s="292">
        <f t="shared" si="64"/>
        <v>0</v>
      </c>
      <c r="N117" s="292">
        <f t="shared" si="64"/>
        <v>1.5</v>
      </c>
      <c r="O117" s="292">
        <f t="shared" si="64"/>
        <v>0</v>
      </c>
      <c r="P117" s="292">
        <f t="shared" si="64"/>
        <v>0</v>
      </c>
      <c r="Q117" s="292">
        <f t="shared" si="64"/>
        <v>0</v>
      </c>
      <c r="R117" s="292">
        <f>SUM(R118)</f>
        <v>3.75</v>
      </c>
      <c r="S117" s="292">
        <f>SUM(S118)</f>
        <v>403.28999999999996</v>
      </c>
      <c r="T117" s="292">
        <f aca="true" t="shared" si="65" ref="T117:AA117">SUM(T118)</f>
        <v>0</v>
      </c>
      <c r="U117" s="292">
        <f t="shared" si="65"/>
        <v>0</v>
      </c>
      <c r="V117" s="292">
        <f t="shared" si="65"/>
        <v>0</v>
      </c>
      <c r="W117" s="292">
        <f t="shared" si="65"/>
        <v>0</v>
      </c>
      <c r="X117" s="292">
        <f t="shared" si="65"/>
        <v>0</v>
      </c>
      <c r="Y117" s="292">
        <f t="shared" si="65"/>
        <v>0</v>
      </c>
      <c r="Z117" s="292">
        <f t="shared" si="65"/>
        <v>403.28999999999996</v>
      </c>
      <c r="AA117" s="292">
        <f t="shared" si="65"/>
        <v>201.64499999999998</v>
      </c>
    </row>
    <row r="118" spans="1:27" ht="19.5">
      <c r="A118" s="281"/>
      <c r="B118" s="267"/>
      <c r="C118" s="267"/>
      <c r="D118" s="273" t="s">
        <v>228</v>
      </c>
      <c r="E118" s="19"/>
      <c r="F118" s="19"/>
      <c r="G118" s="19">
        <f>67.78</f>
        <v>67.78</v>
      </c>
      <c r="H118" s="19"/>
      <c r="I118" s="19">
        <v>331.76</v>
      </c>
      <c r="J118" s="19"/>
      <c r="K118" s="19">
        <f>SUM(E118:J118)</f>
        <v>399.53999999999996</v>
      </c>
      <c r="L118" s="19"/>
      <c r="M118" s="19"/>
      <c r="N118" s="19">
        <f>0.25+0.25+0.25+0.75</f>
        <v>1.5</v>
      </c>
      <c r="O118" s="19"/>
      <c r="P118" s="287"/>
      <c r="Q118" s="287"/>
      <c r="R118" s="288">
        <f>SUM(L118:Q118)*2.5</f>
        <v>3.75</v>
      </c>
      <c r="S118" s="288">
        <f>E118+F118+G118+H118+I118+J118+R118</f>
        <v>403.28999999999996</v>
      </c>
      <c r="T118" s="287"/>
      <c r="U118" s="287"/>
      <c r="V118" s="287"/>
      <c r="W118" s="287"/>
      <c r="X118" s="288">
        <f>SUM(U118:W118)*2.5</f>
        <v>0</v>
      </c>
      <c r="Y118" s="288">
        <f>T118+X118</f>
        <v>0</v>
      </c>
      <c r="Z118" s="288">
        <f>S118+Y118</f>
        <v>403.28999999999996</v>
      </c>
      <c r="AA118" s="288">
        <f>Z118/2</f>
        <v>201.64499999999998</v>
      </c>
    </row>
    <row r="119" spans="1:27" ht="19.5">
      <c r="A119" s="311"/>
      <c r="B119" s="312"/>
      <c r="C119" s="312"/>
      <c r="D119" s="319" t="s">
        <v>197</v>
      </c>
      <c r="E119" s="314"/>
      <c r="F119" s="314"/>
      <c r="G119" s="314"/>
      <c r="H119" s="314"/>
      <c r="I119" s="314"/>
      <c r="J119" s="314"/>
      <c r="K119" s="314">
        <f>SUM(E119:J119)</f>
        <v>0</v>
      </c>
      <c r="L119" s="315"/>
      <c r="M119" s="315"/>
      <c r="N119" s="314">
        <v>3.33</v>
      </c>
      <c r="O119" s="314"/>
      <c r="P119" s="315"/>
      <c r="Q119" s="315"/>
      <c r="R119" s="316">
        <f>SUM(L119:Q119)*2.5</f>
        <v>8.325</v>
      </c>
      <c r="S119" s="315">
        <f>E119+F119+G119+H119+I119+J119+R119</f>
        <v>8.325</v>
      </c>
      <c r="T119" s="315"/>
      <c r="U119" s="315"/>
      <c r="V119" s="315"/>
      <c r="W119" s="315"/>
      <c r="X119" s="316">
        <f>SUM(U119:W119)*2.5</f>
        <v>0</v>
      </c>
      <c r="Y119" s="316">
        <f>T119+X119</f>
        <v>0</v>
      </c>
      <c r="Z119" s="316">
        <f>S119+Y119</f>
        <v>8.325</v>
      </c>
      <c r="AA119" s="316">
        <f>Z119/2</f>
        <v>4.1625</v>
      </c>
    </row>
    <row r="120" spans="1:27" ht="19.5">
      <c r="A120" s="281"/>
      <c r="B120" s="265" t="s">
        <v>229</v>
      </c>
      <c r="C120" s="267"/>
      <c r="D120" s="273"/>
      <c r="E120" s="289">
        <f>SUM(E121:E123)</f>
        <v>0</v>
      </c>
      <c r="F120" s="289">
        <f aca="true" t="shared" si="66" ref="F120:Q120">SUM(F121:F123)</f>
        <v>0</v>
      </c>
      <c r="G120" s="289">
        <f t="shared" si="66"/>
        <v>241.12</v>
      </c>
      <c r="H120" s="289">
        <f t="shared" si="66"/>
        <v>72.67</v>
      </c>
      <c r="I120" s="289">
        <f t="shared" si="66"/>
        <v>113.36999999999999</v>
      </c>
      <c r="J120" s="289">
        <f t="shared" si="66"/>
        <v>0</v>
      </c>
      <c r="K120" s="289">
        <f t="shared" si="66"/>
        <v>427.15999999999997</v>
      </c>
      <c r="L120" s="289">
        <f t="shared" si="66"/>
        <v>0</v>
      </c>
      <c r="M120" s="289">
        <f t="shared" si="66"/>
        <v>0</v>
      </c>
      <c r="N120" s="289">
        <f t="shared" si="66"/>
        <v>0</v>
      </c>
      <c r="O120" s="289">
        <f t="shared" si="66"/>
        <v>0</v>
      </c>
      <c r="P120" s="289">
        <f t="shared" si="66"/>
        <v>0</v>
      </c>
      <c r="Q120" s="289">
        <f t="shared" si="66"/>
        <v>0</v>
      </c>
      <c r="R120" s="289">
        <f>SUM(R121:R123)</f>
        <v>0</v>
      </c>
      <c r="S120" s="289">
        <f>SUM(S121:S123)</f>
        <v>427.15999999999997</v>
      </c>
      <c r="T120" s="289">
        <f aca="true" t="shared" si="67" ref="T120:AA120">SUM(T122:T123)</f>
        <v>0</v>
      </c>
      <c r="U120" s="289">
        <f t="shared" si="67"/>
        <v>0</v>
      </c>
      <c r="V120" s="289">
        <f t="shared" si="67"/>
        <v>0</v>
      </c>
      <c r="W120" s="289">
        <f t="shared" si="67"/>
        <v>0</v>
      </c>
      <c r="X120" s="289">
        <f t="shared" si="67"/>
        <v>0</v>
      </c>
      <c r="Y120" s="289">
        <f t="shared" si="67"/>
        <v>0</v>
      </c>
      <c r="Z120" s="289">
        <f t="shared" si="67"/>
        <v>383.7099999999999</v>
      </c>
      <c r="AA120" s="289">
        <f t="shared" si="67"/>
        <v>191.85499999999996</v>
      </c>
    </row>
    <row r="121" spans="1:27" ht="19.5">
      <c r="A121" s="281"/>
      <c r="B121" s="265"/>
      <c r="C121" s="267"/>
      <c r="D121" s="273" t="s">
        <v>289</v>
      </c>
      <c r="E121" s="289"/>
      <c r="F121" s="289"/>
      <c r="G121" s="289">
        <v>43.45</v>
      </c>
      <c r="H121" s="289"/>
      <c r="I121" s="289"/>
      <c r="J121" s="289"/>
      <c r="K121" s="289">
        <f>SUM(E121:J121)</f>
        <v>43.45</v>
      </c>
      <c r="L121" s="289"/>
      <c r="M121" s="289"/>
      <c r="N121" s="289"/>
      <c r="O121" s="289"/>
      <c r="P121" s="289"/>
      <c r="Q121" s="289"/>
      <c r="R121" s="289">
        <f>SUM(L121:Q121)*2.5</f>
        <v>0</v>
      </c>
      <c r="S121" s="289">
        <f>E121+F121+G121+H121+I121+J121+R121</f>
        <v>43.45</v>
      </c>
      <c r="T121" s="289"/>
      <c r="U121" s="289"/>
      <c r="V121" s="289"/>
      <c r="W121" s="289"/>
      <c r="X121" s="289"/>
      <c r="Y121" s="289"/>
      <c r="Z121" s="289"/>
      <c r="AA121" s="289"/>
    </row>
    <row r="122" spans="1:27" ht="19.5">
      <c r="A122" s="281"/>
      <c r="B122" s="267"/>
      <c r="C122" s="267"/>
      <c r="D122" s="273" t="s">
        <v>230</v>
      </c>
      <c r="E122" s="19"/>
      <c r="F122" s="19"/>
      <c r="G122" s="19"/>
      <c r="H122" s="19"/>
      <c r="I122" s="19">
        <v>15.02</v>
      </c>
      <c r="J122" s="19"/>
      <c r="K122" s="289">
        <f>SUM(E122:J122)</f>
        <v>15.02</v>
      </c>
      <c r="L122" s="287"/>
      <c r="M122" s="287"/>
      <c r="N122" s="287"/>
      <c r="O122" s="287"/>
      <c r="P122" s="287"/>
      <c r="Q122" s="287"/>
      <c r="R122" s="289">
        <f>SUM(L122:Q122)*2.5</f>
        <v>0</v>
      </c>
      <c r="S122" s="289">
        <f>E122+F122+G122+H122+I122+J122+R122</f>
        <v>15.02</v>
      </c>
      <c r="T122" s="287"/>
      <c r="U122" s="287"/>
      <c r="V122" s="287"/>
      <c r="W122" s="287"/>
      <c r="X122" s="288">
        <f>SUM(U122:W122)*2.5</f>
        <v>0</v>
      </c>
      <c r="Y122" s="288">
        <f>T122+X122</f>
        <v>0</v>
      </c>
      <c r="Z122" s="288">
        <f>S122+Y122</f>
        <v>15.02</v>
      </c>
      <c r="AA122" s="288">
        <f>Z122/2</f>
        <v>7.51</v>
      </c>
    </row>
    <row r="123" spans="1:28" ht="19.5">
      <c r="A123" s="281"/>
      <c r="B123" s="267"/>
      <c r="C123" s="267"/>
      <c r="D123" s="273" t="s">
        <v>231</v>
      </c>
      <c r="E123" s="19"/>
      <c r="F123" s="19"/>
      <c r="G123" s="19">
        <v>197.67</v>
      </c>
      <c r="H123" s="19">
        <v>72.67</v>
      </c>
      <c r="I123" s="19">
        <v>98.35</v>
      </c>
      <c r="J123" s="19"/>
      <c r="K123" s="289">
        <f>SUM(E123:J123)</f>
        <v>368.68999999999994</v>
      </c>
      <c r="L123" s="287"/>
      <c r="M123" s="287"/>
      <c r="N123" s="287"/>
      <c r="O123" s="287"/>
      <c r="P123" s="287"/>
      <c r="Q123" s="287"/>
      <c r="R123" s="289">
        <f>SUM(L123:Q123)*2.5</f>
        <v>0</v>
      </c>
      <c r="S123" s="289">
        <f>E123+F123+G123+H123+I123+J123+R123</f>
        <v>368.68999999999994</v>
      </c>
      <c r="T123" s="287"/>
      <c r="U123" s="287"/>
      <c r="V123" s="287"/>
      <c r="W123" s="287"/>
      <c r="X123" s="288">
        <f>SUM(U123:W123)*2.5</f>
        <v>0</v>
      </c>
      <c r="Y123" s="288">
        <f>T123+X123</f>
        <v>0</v>
      </c>
      <c r="Z123" s="288">
        <f>S123+Y123</f>
        <v>368.68999999999994</v>
      </c>
      <c r="AA123" s="288">
        <f>Z123/2</f>
        <v>184.34499999999997</v>
      </c>
      <c r="AB123" s="416"/>
    </row>
    <row r="124" spans="1:27" ht="19.5">
      <c r="A124" s="279" t="s">
        <v>273</v>
      </c>
      <c r="B124" s="279"/>
      <c r="C124" s="279"/>
      <c r="D124" s="280"/>
      <c r="E124" s="286">
        <f>SUM(E125+E128+E129)</f>
        <v>260.74</v>
      </c>
      <c r="F124" s="286">
        <f aca="true" t="shared" si="68" ref="F124:Q124">SUM(F125+F128+F129)</f>
        <v>0</v>
      </c>
      <c r="G124" s="286">
        <f t="shared" si="68"/>
        <v>0</v>
      </c>
      <c r="H124" s="286">
        <f t="shared" si="68"/>
        <v>81.29</v>
      </c>
      <c r="I124" s="286">
        <f t="shared" si="68"/>
        <v>351.5</v>
      </c>
      <c r="J124" s="286">
        <f t="shared" si="68"/>
        <v>38.27</v>
      </c>
      <c r="K124" s="286">
        <f t="shared" si="68"/>
        <v>731.8000000000001</v>
      </c>
      <c r="L124" s="286">
        <f t="shared" si="68"/>
        <v>0</v>
      </c>
      <c r="M124" s="286">
        <f t="shared" si="68"/>
        <v>0</v>
      </c>
      <c r="N124" s="286">
        <f t="shared" si="68"/>
        <v>0</v>
      </c>
      <c r="O124" s="286">
        <f t="shared" si="68"/>
        <v>0</v>
      </c>
      <c r="P124" s="286">
        <f t="shared" si="68"/>
        <v>0</v>
      </c>
      <c r="Q124" s="286">
        <f t="shared" si="68"/>
        <v>0</v>
      </c>
      <c r="R124" s="286">
        <f>SUM(R125+R128+R129)</f>
        <v>0</v>
      </c>
      <c r="S124" s="286">
        <f>SUM(S125+S128+S129)</f>
        <v>731.8000000000001</v>
      </c>
      <c r="T124" s="286">
        <f aca="true" t="shared" si="69" ref="T124:AA124">SUM(T125+T128+T129)</f>
        <v>0</v>
      </c>
      <c r="U124" s="286">
        <f t="shared" si="69"/>
        <v>0</v>
      </c>
      <c r="V124" s="286">
        <f t="shared" si="69"/>
        <v>0</v>
      </c>
      <c r="W124" s="286">
        <f t="shared" si="69"/>
        <v>0</v>
      </c>
      <c r="X124" s="286">
        <f t="shared" si="69"/>
        <v>0</v>
      </c>
      <c r="Y124" s="286">
        <f t="shared" si="69"/>
        <v>0</v>
      </c>
      <c r="Z124" s="286">
        <f t="shared" si="69"/>
        <v>731.8000000000001</v>
      </c>
      <c r="AA124" s="286">
        <f t="shared" si="69"/>
        <v>365.90000000000003</v>
      </c>
    </row>
    <row r="125" spans="1:27" ht="19.5">
      <c r="A125" s="281"/>
      <c r="B125" s="265" t="s">
        <v>234</v>
      </c>
      <c r="C125" s="267"/>
      <c r="D125" s="273"/>
      <c r="E125" s="289">
        <f>SUM(E126:E127)</f>
        <v>260.74</v>
      </c>
      <c r="F125" s="289">
        <f aca="true" t="shared" si="70" ref="F125:AA125">SUM(F126:F127)</f>
        <v>0</v>
      </c>
      <c r="G125" s="289">
        <f t="shared" si="70"/>
        <v>0</v>
      </c>
      <c r="H125" s="289">
        <f t="shared" si="70"/>
        <v>81.29</v>
      </c>
      <c r="I125" s="289">
        <f t="shared" si="70"/>
        <v>247.64</v>
      </c>
      <c r="J125" s="289">
        <f t="shared" si="70"/>
        <v>38.27</v>
      </c>
      <c r="K125" s="289">
        <f t="shared" si="70"/>
        <v>627.94</v>
      </c>
      <c r="L125" s="289">
        <f t="shared" si="70"/>
        <v>0</v>
      </c>
      <c r="M125" s="289">
        <f t="shared" si="70"/>
        <v>0</v>
      </c>
      <c r="N125" s="289">
        <f t="shared" si="70"/>
        <v>0</v>
      </c>
      <c r="O125" s="289">
        <f t="shared" si="70"/>
        <v>0</v>
      </c>
      <c r="P125" s="289">
        <f t="shared" si="70"/>
        <v>0</v>
      </c>
      <c r="Q125" s="289">
        <f t="shared" si="70"/>
        <v>0</v>
      </c>
      <c r="R125" s="289">
        <f>SUM(R126:R127)</f>
        <v>0</v>
      </c>
      <c r="S125" s="289">
        <f>SUM(S126:S127)</f>
        <v>627.94</v>
      </c>
      <c r="T125" s="289">
        <f t="shared" si="70"/>
        <v>0</v>
      </c>
      <c r="U125" s="289">
        <f t="shared" si="70"/>
        <v>0</v>
      </c>
      <c r="V125" s="289">
        <f t="shared" si="70"/>
        <v>0</v>
      </c>
      <c r="W125" s="289">
        <f t="shared" si="70"/>
        <v>0</v>
      </c>
      <c r="X125" s="289">
        <f t="shared" si="70"/>
        <v>0</v>
      </c>
      <c r="Y125" s="289">
        <f t="shared" si="70"/>
        <v>0</v>
      </c>
      <c r="Z125" s="289">
        <f t="shared" si="70"/>
        <v>627.94</v>
      </c>
      <c r="AA125" s="289">
        <f t="shared" si="70"/>
        <v>313.97</v>
      </c>
    </row>
    <row r="126" spans="1:27" ht="19.5">
      <c r="A126" s="267"/>
      <c r="B126" s="267"/>
      <c r="C126" s="267"/>
      <c r="D126" s="273" t="s">
        <v>232</v>
      </c>
      <c r="E126" s="251">
        <v>260.74</v>
      </c>
      <c r="F126" s="251"/>
      <c r="G126" s="251"/>
      <c r="H126" s="251">
        <v>81.29</v>
      </c>
      <c r="I126" s="251">
        <v>247.64</v>
      </c>
      <c r="J126" s="251">
        <v>38.27</v>
      </c>
      <c r="K126" s="251">
        <f>SUM(E126:J126)</f>
        <v>627.94</v>
      </c>
      <c r="L126" s="287"/>
      <c r="M126" s="287"/>
      <c r="N126" s="287"/>
      <c r="O126" s="287"/>
      <c r="P126" s="287"/>
      <c r="Q126" s="287"/>
      <c r="R126" s="288">
        <f>SUM(L126:Q126)*2.5</f>
        <v>0</v>
      </c>
      <c r="S126" s="288">
        <f>E126+F126+G126+H126+I126+J126+R126</f>
        <v>627.94</v>
      </c>
      <c r="T126" s="287"/>
      <c r="U126" s="287"/>
      <c r="V126" s="287"/>
      <c r="W126" s="287"/>
      <c r="X126" s="288">
        <f>SUM(U126:W126)*2.5</f>
        <v>0</v>
      </c>
      <c r="Y126" s="288">
        <f>T126+X126</f>
        <v>0</v>
      </c>
      <c r="Z126" s="288">
        <f>S126+Y126</f>
        <v>627.94</v>
      </c>
      <c r="AA126" s="288">
        <f>Z126/2</f>
        <v>313.97</v>
      </c>
    </row>
    <row r="127" spans="1:27" ht="19.5">
      <c r="A127" s="267"/>
      <c r="B127" s="267"/>
      <c r="C127" s="267"/>
      <c r="D127" s="273" t="s">
        <v>233</v>
      </c>
      <c r="E127" s="289"/>
      <c r="F127" s="289"/>
      <c r="G127" s="289"/>
      <c r="H127" s="289"/>
      <c r="I127" s="289"/>
      <c r="J127" s="289"/>
      <c r="K127" s="251">
        <f>SUM(E127:J127)</f>
        <v>0</v>
      </c>
      <c r="L127" s="287"/>
      <c r="M127" s="287"/>
      <c r="N127" s="287"/>
      <c r="O127" s="287"/>
      <c r="P127" s="287"/>
      <c r="Q127" s="287"/>
      <c r="R127" s="288">
        <f>SUM(L127:Q127)*2.5</f>
        <v>0</v>
      </c>
      <c r="S127" s="288">
        <f>E127+F127+G127+H127+I127+J127+R127</f>
        <v>0</v>
      </c>
      <c r="T127" s="287"/>
      <c r="U127" s="287"/>
      <c r="V127" s="287"/>
      <c r="W127" s="287"/>
      <c r="X127" s="288">
        <f>SUM(U127:W127)*2.5</f>
        <v>0</v>
      </c>
      <c r="Y127" s="288">
        <f>T127+X127</f>
        <v>0</v>
      </c>
      <c r="Z127" s="288">
        <f>S127+Y127</f>
        <v>0</v>
      </c>
      <c r="AA127" s="288">
        <f>Z127/2</f>
        <v>0</v>
      </c>
    </row>
    <row r="128" spans="1:27" ht="19.5">
      <c r="A128" s="281"/>
      <c r="B128" s="265" t="s">
        <v>235</v>
      </c>
      <c r="C128" s="267"/>
      <c r="D128" s="273"/>
      <c r="E128" s="251"/>
      <c r="F128" s="251"/>
      <c r="G128" s="251"/>
      <c r="H128" s="251"/>
      <c r="I128" s="251">
        <v>62.32</v>
      </c>
      <c r="J128" s="251"/>
      <c r="K128" s="251">
        <f>SUM(E128:J128)</f>
        <v>62.32</v>
      </c>
      <c r="L128" s="287"/>
      <c r="M128" s="287"/>
      <c r="N128" s="287"/>
      <c r="O128" s="287"/>
      <c r="P128" s="287"/>
      <c r="Q128" s="287"/>
      <c r="R128" s="288">
        <f>SUM(L128:Q128)*2.5</f>
        <v>0</v>
      </c>
      <c r="S128" s="288">
        <f>E128+F128+G128+H128+I128+J128+R128</f>
        <v>62.32</v>
      </c>
      <c r="T128" s="287"/>
      <c r="U128" s="287"/>
      <c r="V128" s="287"/>
      <c r="W128" s="287"/>
      <c r="X128" s="288">
        <f>SUM(U128:W128)*2.5</f>
        <v>0</v>
      </c>
      <c r="Y128" s="288">
        <f>T128+X128</f>
        <v>0</v>
      </c>
      <c r="Z128" s="288">
        <f>S128+Y128</f>
        <v>62.32</v>
      </c>
      <c r="AA128" s="288">
        <f>Z128/2</f>
        <v>31.16</v>
      </c>
    </row>
    <row r="129" spans="1:27" ht="19.5">
      <c r="A129" s="281"/>
      <c r="B129" s="265" t="s">
        <v>236</v>
      </c>
      <c r="C129" s="267"/>
      <c r="D129" s="273"/>
      <c r="E129" s="251"/>
      <c r="F129" s="251"/>
      <c r="G129" s="251"/>
      <c r="H129" s="251"/>
      <c r="I129" s="251">
        <v>41.54</v>
      </c>
      <c r="J129" s="251"/>
      <c r="K129" s="251">
        <f>SUM(E129:J129)</f>
        <v>41.54</v>
      </c>
      <c r="L129" s="287"/>
      <c r="M129" s="287"/>
      <c r="N129" s="287"/>
      <c r="O129" s="287"/>
      <c r="P129" s="287"/>
      <c r="Q129" s="287"/>
      <c r="R129" s="288">
        <f>SUM(L129:Q129)*2.5</f>
        <v>0</v>
      </c>
      <c r="S129" s="288">
        <f>E129+F129+G129+H129+I129+J129+R129</f>
        <v>41.54</v>
      </c>
      <c r="T129" s="287"/>
      <c r="U129" s="287"/>
      <c r="V129" s="287"/>
      <c r="W129" s="287"/>
      <c r="X129" s="288">
        <f>SUM(U129:W129)*2.5</f>
        <v>0</v>
      </c>
      <c r="Y129" s="288">
        <f>T129+X129</f>
        <v>0</v>
      </c>
      <c r="Z129" s="288">
        <f>S129+Y129</f>
        <v>41.54</v>
      </c>
      <c r="AA129" s="288">
        <f>Z129/2</f>
        <v>20.77</v>
      </c>
    </row>
    <row r="130" spans="1:27" ht="19.5">
      <c r="A130" s="279" t="s">
        <v>274</v>
      </c>
      <c r="B130" s="279"/>
      <c r="C130" s="279"/>
      <c r="D130" s="280"/>
      <c r="E130" s="300">
        <f>SUM(E131+E135)</f>
        <v>0</v>
      </c>
      <c r="F130" s="300">
        <f aca="true" t="shared" si="71" ref="F130:AA130">SUM(F131+F135)</f>
        <v>0</v>
      </c>
      <c r="G130" s="300">
        <f t="shared" si="71"/>
        <v>0</v>
      </c>
      <c r="H130" s="300">
        <f t="shared" si="71"/>
        <v>0</v>
      </c>
      <c r="I130" s="300">
        <f t="shared" si="71"/>
        <v>165.41</v>
      </c>
      <c r="J130" s="300">
        <f t="shared" si="71"/>
        <v>0</v>
      </c>
      <c r="K130" s="300">
        <f t="shared" si="71"/>
        <v>173.57999999999998</v>
      </c>
      <c r="L130" s="300">
        <f t="shared" si="71"/>
        <v>0</v>
      </c>
      <c r="M130" s="300">
        <f t="shared" si="71"/>
        <v>0</v>
      </c>
      <c r="N130" s="300">
        <f t="shared" si="71"/>
        <v>2</v>
      </c>
      <c r="O130" s="300">
        <f t="shared" si="71"/>
        <v>0</v>
      </c>
      <c r="P130" s="300">
        <f t="shared" si="71"/>
        <v>0</v>
      </c>
      <c r="Q130" s="300">
        <f t="shared" si="71"/>
        <v>0</v>
      </c>
      <c r="R130" s="300">
        <f>SUM(R131+R135)</f>
        <v>5</v>
      </c>
      <c r="S130" s="300">
        <f>SUM(S131+S135)</f>
        <v>178.57999999999998</v>
      </c>
      <c r="T130" s="300">
        <f t="shared" si="71"/>
        <v>0</v>
      </c>
      <c r="U130" s="300">
        <f t="shared" si="71"/>
        <v>0</v>
      </c>
      <c r="V130" s="300">
        <f t="shared" si="71"/>
        <v>0</v>
      </c>
      <c r="W130" s="300">
        <f t="shared" si="71"/>
        <v>0</v>
      </c>
      <c r="X130" s="300">
        <f t="shared" si="71"/>
        <v>0</v>
      </c>
      <c r="Y130" s="300">
        <f t="shared" si="71"/>
        <v>0</v>
      </c>
      <c r="Z130" s="300">
        <f t="shared" si="71"/>
        <v>178.57999999999998</v>
      </c>
      <c r="AA130" s="300">
        <f t="shared" si="71"/>
        <v>89.28999999999999</v>
      </c>
    </row>
    <row r="131" spans="1:27" ht="19.5">
      <c r="A131" s="265"/>
      <c r="B131" s="265" t="s">
        <v>237</v>
      </c>
      <c r="C131" s="267"/>
      <c r="D131" s="271"/>
      <c r="E131" s="289">
        <f>SUM(E132:E134)</f>
        <v>0</v>
      </c>
      <c r="F131" s="289"/>
      <c r="G131" s="289"/>
      <c r="H131" s="289"/>
      <c r="I131" s="289">
        <f>SUM(I132:I134)</f>
        <v>80.91</v>
      </c>
      <c r="J131" s="289">
        <f>SUM(J132:J134)</f>
        <v>0</v>
      </c>
      <c r="K131" s="289">
        <f>SUM(K132:K134)</f>
        <v>89.08</v>
      </c>
      <c r="L131" s="301">
        <f aca="true" t="shared" si="72" ref="L131:AA131">SUM(L132:L134)</f>
        <v>0</v>
      </c>
      <c r="M131" s="301">
        <f>SUM(M132:M134)</f>
        <v>0</v>
      </c>
      <c r="N131" s="301">
        <f t="shared" si="72"/>
        <v>2</v>
      </c>
      <c r="O131" s="301">
        <f t="shared" si="72"/>
        <v>0</v>
      </c>
      <c r="P131" s="301">
        <f t="shared" si="72"/>
        <v>0</v>
      </c>
      <c r="Q131" s="301">
        <f>SUM(Q132:Q134)</f>
        <v>0</v>
      </c>
      <c r="R131" s="301">
        <f>SUM(R132:R134)</f>
        <v>5</v>
      </c>
      <c r="S131" s="289">
        <f>SUM(S132:S134)</f>
        <v>94.08</v>
      </c>
      <c r="T131" s="301">
        <f t="shared" si="72"/>
        <v>0</v>
      </c>
      <c r="U131" s="301">
        <f t="shared" si="72"/>
        <v>0</v>
      </c>
      <c r="V131" s="301">
        <f t="shared" si="72"/>
        <v>0</v>
      </c>
      <c r="W131" s="301">
        <f t="shared" si="72"/>
        <v>0</v>
      </c>
      <c r="X131" s="301">
        <f t="shared" si="72"/>
        <v>0</v>
      </c>
      <c r="Y131" s="301">
        <f t="shared" si="72"/>
        <v>0</v>
      </c>
      <c r="Z131" s="301">
        <f t="shared" si="72"/>
        <v>94.08</v>
      </c>
      <c r="AA131" s="301">
        <f t="shared" si="72"/>
        <v>47.04</v>
      </c>
    </row>
    <row r="132" spans="1:27" ht="19.5">
      <c r="A132" s="265"/>
      <c r="B132" s="267"/>
      <c r="C132" s="267"/>
      <c r="D132" s="273" t="s">
        <v>239</v>
      </c>
      <c r="E132" s="289"/>
      <c r="F132" s="289"/>
      <c r="G132" s="289"/>
      <c r="H132" s="289">
        <v>8.17</v>
      </c>
      <c r="I132" s="289">
        <v>23.56</v>
      </c>
      <c r="J132" s="289"/>
      <c r="K132" s="289">
        <f>SUM(E132:J132)</f>
        <v>31.729999999999997</v>
      </c>
      <c r="L132" s="287"/>
      <c r="M132" s="287"/>
      <c r="N132" s="287">
        <v>2</v>
      </c>
      <c r="O132" s="287"/>
      <c r="P132" s="287"/>
      <c r="Q132" s="287"/>
      <c r="R132" s="288">
        <f>SUM(L132:Q132)*2.5</f>
        <v>5</v>
      </c>
      <c r="S132" s="287">
        <f>E132+F132+G132+H132+I132+J132+R132</f>
        <v>36.73</v>
      </c>
      <c r="T132" s="302"/>
      <c r="U132" s="302"/>
      <c r="V132" s="302"/>
      <c r="W132" s="302"/>
      <c r="X132" s="288">
        <f>SUM(U132:W132)*2.5</f>
        <v>0</v>
      </c>
      <c r="Y132" s="302">
        <f>T132+X132</f>
        <v>0</v>
      </c>
      <c r="Z132" s="302">
        <f>S132+Y132</f>
        <v>36.73</v>
      </c>
      <c r="AA132" s="302">
        <f>Z132/2</f>
        <v>18.365</v>
      </c>
    </row>
    <row r="133" spans="1:27" ht="19.5">
      <c r="A133" s="265"/>
      <c r="B133" s="267"/>
      <c r="C133" s="267"/>
      <c r="D133" s="273" t="s">
        <v>240</v>
      </c>
      <c r="E133" s="19"/>
      <c r="F133" s="19"/>
      <c r="G133" s="19"/>
      <c r="H133" s="19"/>
      <c r="I133" s="19">
        <v>29.85</v>
      </c>
      <c r="J133" s="19"/>
      <c r="K133" s="289">
        <f>SUM(E133:J133)</f>
        <v>29.85</v>
      </c>
      <c r="L133" s="302"/>
      <c r="M133" s="302"/>
      <c r="N133" s="302"/>
      <c r="O133" s="302"/>
      <c r="P133" s="302"/>
      <c r="Q133" s="302"/>
      <c r="R133" s="288">
        <f>SUM(L133:Q133)*2.5</f>
        <v>0</v>
      </c>
      <c r="S133" s="287">
        <f>E133+F133+G133+H133+I133+J133+R133</f>
        <v>29.85</v>
      </c>
      <c r="T133" s="302"/>
      <c r="U133" s="302"/>
      <c r="V133" s="302"/>
      <c r="W133" s="302"/>
      <c r="X133" s="288">
        <f>SUM(U133:W133)*2.5</f>
        <v>0</v>
      </c>
      <c r="Y133" s="302">
        <f>T133+X133</f>
        <v>0</v>
      </c>
      <c r="Z133" s="302">
        <f>S133+Y133</f>
        <v>29.85</v>
      </c>
      <c r="AA133" s="302">
        <f>Z133/2</f>
        <v>14.925</v>
      </c>
    </row>
    <row r="134" spans="1:27" ht="19.5">
      <c r="A134" s="265"/>
      <c r="B134" s="267"/>
      <c r="C134" s="267"/>
      <c r="D134" s="273" t="s">
        <v>241</v>
      </c>
      <c r="E134" s="19"/>
      <c r="F134" s="19"/>
      <c r="G134" s="19"/>
      <c r="H134" s="19"/>
      <c r="I134" s="19">
        <v>27.5</v>
      </c>
      <c r="J134" s="19"/>
      <c r="K134" s="289">
        <f>SUM(E134:J134)</f>
        <v>27.5</v>
      </c>
      <c r="L134" s="302"/>
      <c r="M134" s="302"/>
      <c r="N134" s="302"/>
      <c r="O134" s="302"/>
      <c r="P134" s="302"/>
      <c r="Q134" s="302"/>
      <c r="R134" s="288">
        <f>SUM(L134:Q134)*2.5</f>
        <v>0</v>
      </c>
      <c r="S134" s="287">
        <f>E134+F134+G134+H134+I134+J134+R134</f>
        <v>27.5</v>
      </c>
      <c r="T134" s="302"/>
      <c r="U134" s="302"/>
      <c r="V134" s="302"/>
      <c r="W134" s="302"/>
      <c r="X134" s="288">
        <f>SUM(U134:W134)*2.5</f>
        <v>0</v>
      </c>
      <c r="Y134" s="302">
        <f>T134+X134</f>
        <v>0</v>
      </c>
      <c r="Z134" s="302">
        <f>S134+Y134</f>
        <v>27.5</v>
      </c>
      <c r="AA134" s="302">
        <f>Z134/2</f>
        <v>13.75</v>
      </c>
    </row>
    <row r="135" spans="1:27" ht="19.5">
      <c r="A135" s="285"/>
      <c r="B135" s="278" t="s">
        <v>238</v>
      </c>
      <c r="C135" s="275"/>
      <c r="D135" s="276"/>
      <c r="E135" s="277"/>
      <c r="F135" s="277"/>
      <c r="G135" s="277"/>
      <c r="H135" s="277"/>
      <c r="I135" s="277">
        <v>84.5</v>
      </c>
      <c r="J135" s="277"/>
      <c r="K135" s="303">
        <f>SUM(E135:J135)</f>
        <v>84.5</v>
      </c>
      <c r="L135" s="303"/>
      <c r="M135" s="303"/>
      <c r="N135" s="303"/>
      <c r="O135" s="303"/>
      <c r="P135" s="303"/>
      <c r="Q135" s="303"/>
      <c r="R135" s="304">
        <f>SUM(L135:Q135)*2.5</f>
        <v>0</v>
      </c>
      <c r="S135" s="303">
        <f>E135+F135+G135+H135+I135+J135+R135</f>
        <v>84.5</v>
      </c>
      <c r="T135" s="303"/>
      <c r="U135" s="303"/>
      <c r="V135" s="303"/>
      <c r="W135" s="303"/>
      <c r="X135" s="304">
        <f>SUM(U135:W135)*2.5</f>
        <v>0</v>
      </c>
      <c r="Y135" s="305">
        <f>T135+X135</f>
        <v>0</v>
      </c>
      <c r="Z135" s="305">
        <f>S135+Y135</f>
        <v>84.5</v>
      </c>
      <c r="AA135" s="305">
        <f>Z135/2</f>
        <v>42.25</v>
      </c>
    </row>
    <row r="136" spans="1:27" ht="18.75">
      <c r="A136" s="253"/>
      <c r="B136" s="253"/>
      <c r="C136" s="253"/>
      <c r="D136" s="253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5"/>
      <c r="T136" s="254"/>
      <c r="U136" s="254"/>
      <c r="V136" s="254"/>
      <c r="W136" s="254"/>
      <c r="X136" s="254"/>
      <c r="Y136" s="255"/>
      <c r="Z136" s="255"/>
      <c r="AA136" s="255"/>
    </row>
    <row r="137" spans="1:27" ht="18.75">
      <c r="A137" s="256" t="s">
        <v>276</v>
      </c>
      <c r="B137" s="256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7"/>
      <c r="U137" s="257"/>
      <c r="V137" s="257"/>
      <c r="W137" s="257"/>
      <c r="X137" s="257"/>
      <c r="Y137" s="257"/>
      <c r="Z137" s="257"/>
      <c r="AA137" s="257"/>
    </row>
    <row r="138" spans="1:27" ht="18.75">
      <c r="A138" s="258" t="s">
        <v>281</v>
      </c>
      <c r="B138" s="258"/>
      <c r="C138" s="258"/>
      <c r="D138" s="258"/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  <c r="P138" s="256"/>
      <c r="Q138" s="256"/>
      <c r="R138" s="256"/>
      <c r="S138" s="256"/>
      <c r="T138" s="257"/>
      <c r="U138" s="257"/>
      <c r="V138" s="257"/>
      <c r="W138" s="257"/>
      <c r="X138" s="257"/>
      <c r="Y138" s="257"/>
      <c r="Z138" s="257"/>
      <c r="AA138" s="257"/>
    </row>
    <row r="139" spans="1:27" ht="18.75">
      <c r="A139" s="257" t="s">
        <v>280</v>
      </c>
      <c r="B139" s="257"/>
      <c r="C139" s="257"/>
      <c r="D139" s="257"/>
      <c r="E139" s="257"/>
      <c r="F139" s="257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  <c r="W139" s="257"/>
      <c r="X139" s="257"/>
      <c r="Y139" s="257"/>
      <c r="Z139" s="257"/>
      <c r="AA139" s="257"/>
    </row>
    <row r="140" spans="1:27" ht="21.75">
      <c r="A140" s="259"/>
      <c r="B140" s="259"/>
      <c r="C140" s="259"/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</row>
    <row r="141" spans="1:27" ht="21.75">
      <c r="A141" s="259"/>
      <c r="B141" s="259"/>
      <c r="C141" s="259"/>
      <c r="D141" s="259"/>
      <c r="E141" s="259"/>
      <c r="F141" s="259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</row>
    <row r="142" spans="1:27" ht="21.75">
      <c r="A142" s="259"/>
      <c r="B142" s="259"/>
      <c r="C142" s="259"/>
      <c r="D142" s="259"/>
      <c r="E142" s="259"/>
      <c r="F142" s="259"/>
      <c r="G142" s="259"/>
      <c r="H142" s="259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</row>
    <row r="143" spans="1:27" ht="21.75">
      <c r="A143" s="259"/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</row>
    <row r="144" spans="1:27" ht="21.75">
      <c r="A144" s="259"/>
      <c r="B144" s="259"/>
      <c r="C144" s="259"/>
      <c r="D144" s="259"/>
      <c r="E144" s="259"/>
      <c r="F144" s="259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</row>
    <row r="145" spans="1:27" ht="21.75">
      <c r="A145" s="259"/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</row>
    <row r="146" spans="1:27" ht="21.75">
      <c r="A146" s="259"/>
      <c r="B146" s="259"/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</row>
    <row r="147" spans="1:27" ht="21.75">
      <c r="A147" s="259"/>
      <c r="B147" s="259"/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259"/>
    </row>
    <row r="148" spans="1:27" ht="21.75">
      <c r="A148" s="259"/>
      <c r="B148" s="259"/>
      <c r="C148" s="259"/>
      <c r="D148" s="259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</row>
    <row r="149" spans="1:27" ht="21.75">
      <c r="A149" s="259"/>
      <c r="B149" s="259"/>
      <c r="C149" s="259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</row>
    <row r="150" spans="1:27" ht="21.75">
      <c r="A150" s="259"/>
      <c r="B150" s="259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259"/>
      <c r="Z150" s="259"/>
      <c r="AA150" s="259"/>
    </row>
    <row r="151" spans="1:27" ht="21.75">
      <c r="A151" s="259"/>
      <c r="B151" s="259"/>
      <c r="C151" s="259"/>
      <c r="D151" s="259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/>
      <c r="U151" s="259"/>
      <c r="V151" s="259"/>
      <c r="W151" s="259"/>
      <c r="X151" s="259"/>
      <c r="Y151" s="259"/>
      <c r="Z151" s="259"/>
      <c r="AA151" s="259"/>
    </row>
    <row r="152" spans="1:27" ht="21.75">
      <c r="A152" s="259"/>
      <c r="B152" s="259"/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/>
      <c r="U152" s="259"/>
      <c r="V152" s="259"/>
      <c r="W152" s="259"/>
      <c r="X152" s="259"/>
      <c r="Y152" s="259"/>
      <c r="Z152" s="259"/>
      <c r="AA152" s="259"/>
    </row>
  </sheetData>
  <sheetProtection/>
  <mergeCells count="10">
    <mergeCell ref="E4:K4"/>
    <mergeCell ref="A1:AA1"/>
    <mergeCell ref="A2:D4"/>
    <mergeCell ref="E2:S2"/>
    <mergeCell ref="T2:Y2"/>
    <mergeCell ref="E3:R3"/>
    <mergeCell ref="T3:X3"/>
    <mergeCell ref="N4:O4"/>
    <mergeCell ref="L4:M4"/>
    <mergeCell ref="P4:Q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  <headerFooter alignWithMargins="0">
    <oddFooter>&amp;L&amp;10กลุ่มภารกิจยุทธศาสตร์และแผน&amp;C&amp;10 ข้อมูล ณ วันที  22  ธันวาคม  2553&amp;R&amp;10FTES 1-2 - 53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66"/>
  <sheetViews>
    <sheetView zoomScale="120" zoomScaleNormal="120" zoomScaleSheetLayoutView="80" zoomScalePageLayoutView="0" workbookViewId="0" topLeftCell="A1">
      <pane xSplit="4" ySplit="4" topLeftCell="H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W7" sqref="W7"/>
    </sheetView>
  </sheetViews>
  <sheetFormatPr defaultColWidth="9.140625" defaultRowHeight="21.75"/>
  <cols>
    <col min="1" max="1" width="1.8515625" style="339" customWidth="1"/>
    <col min="2" max="3" width="2.28125" style="339" customWidth="1"/>
    <col min="4" max="4" width="27.8515625" style="339" customWidth="1"/>
    <col min="5" max="5" width="8.7109375" style="339" bestFit="1" customWidth="1"/>
    <col min="6" max="9" width="8.00390625" style="339" customWidth="1"/>
    <col min="10" max="10" width="8.7109375" style="374" bestFit="1" customWidth="1"/>
    <col min="11" max="11" width="8.00390625" style="374" customWidth="1"/>
    <col min="12" max="16" width="8.00390625" style="339" customWidth="1"/>
    <col min="17" max="17" width="8.140625" style="339" bestFit="1" customWidth="1"/>
    <col min="18" max="21" width="8.00390625" style="339" customWidth="1"/>
    <col min="22" max="22" width="8.7109375" style="339" bestFit="1" customWidth="1"/>
    <col min="23" max="16384" width="9.140625" style="339" customWidth="1"/>
  </cols>
  <sheetData>
    <row r="1" spans="1:22" ht="21.75" customHeight="1">
      <c r="A1" s="550" t="s">
        <v>319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</row>
    <row r="2" spans="1:22" ht="21.75" customHeight="1">
      <c r="A2" s="551" t="s">
        <v>4</v>
      </c>
      <c r="B2" s="552"/>
      <c r="C2" s="552"/>
      <c r="D2" s="552"/>
      <c r="E2" s="555" t="s">
        <v>316</v>
      </c>
      <c r="F2" s="555"/>
      <c r="G2" s="555"/>
      <c r="H2" s="555"/>
      <c r="I2" s="555"/>
      <c r="J2" s="555"/>
      <c r="K2" s="556" t="s">
        <v>317</v>
      </c>
      <c r="L2" s="556"/>
      <c r="M2" s="556"/>
      <c r="N2" s="556"/>
      <c r="O2" s="556"/>
      <c r="P2" s="556"/>
      <c r="Q2" s="548" t="s">
        <v>3</v>
      </c>
      <c r="R2" s="548"/>
      <c r="S2" s="548"/>
      <c r="T2" s="548"/>
      <c r="U2" s="548"/>
      <c r="V2" s="548"/>
    </row>
    <row r="3" spans="1:22" ht="21.75" customHeight="1">
      <c r="A3" s="553"/>
      <c r="B3" s="553"/>
      <c r="C3" s="553"/>
      <c r="D3" s="553"/>
      <c r="E3" s="549" t="s">
        <v>5</v>
      </c>
      <c r="F3" s="549"/>
      <c r="G3" s="549"/>
      <c r="H3" s="549"/>
      <c r="I3" s="549"/>
      <c r="J3" s="513" t="s">
        <v>3</v>
      </c>
      <c r="K3" s="549" t="s">
        <v>5</v>
      </c>
      <c r="L3" s="549"/>
      <c r="M3" s="549"/>
      <c r="N3" s="549"/>
      <c r="O3" s="549"/>
      <c r="P3" s="415" t="s">
        <v>3</v>
      </c>
      <c r="Q3" s="549" t="s">
        <v>5</v>
      </c>
      <c r="R3" s="549"/>
      <c r="S3" s="549"/>
      <c r="T3" s="549"/>
      <c r="U3" s="549"/>
      <c r="V3" s="415" t="s">
        <v>3</v>
      </c>
    </row>
    <row r="4" spans="1:22" ht="18.75">
      <c r="A4" s="554"/>
      <c r="B4" s="554"/>
      <c r="C4" s="554"/>
      <c r="D4" s="554"/>
      <c r="E4" s="246" t="s">
        <v>8</v>
      </c>
      <c r="F4" s="246" t="s">
        <v>9</v>
      </c>
      <c r="G4" s="246" t="s">
        <v>10</v>
      </c>
      <c r="H4" s="246" t="s">
        <v>11</v>
      </c>
      <c r="I4" s="246" t="s">
        <v>12</v>
      </c>
      <c r="J4" s="247" t="s">
        <v>13</v>
      </c>
      <c r="K4" s="247" t="s">
        <v>8</v>
      </c>
      <c r="L4" s="246" t="s">
        <v>9</v>
      </c>
      <c r="M4" s="246" t="s">
        <v>10</v>
      </c>
      <c r="N4" s="246" t="s">
        <v>11</v>
      </c>
      <c r="O4" s="246" t="s">
        <v>12</v>
      </c>
      <c r="P4" s="246" t="s">
        <v>13</v>
      </c>
      <c r="Q4" s="247" t="s">
        <v>8</v>
      </c>
      <c r="R4" s="246" t="s">
        <v>9</v>
      </c>
      <c r="S4" s="246" t="s">
        <v>10</v>
      </c>
      <c r="T4" s="246" t="s">
        <v>11</v>
      </c>
      <c r="U4" s="246" t="s">
        <v>12</v>
      </c>
      <c r="V4" s="246" t="s">
        <v>13</v>
      </c>
    </row>
    <row r="5" spans="1:22" ht="19.5">
      <c r="A5" s="517" t="s">
        <v>14</v>
      </c>
      <c r="B5" s="518"/>
      <c r="C5" s="518"/>
      <c r="D5" s="518"/>
      <c r="E5" s="519">
        <f aca="true" t="shared" si="0" ref="E5:J5">E6+E16+E62+E64+E70+E107+E132+E138+E101+E145+E147+E149</f>
        <v>1784.54</v>
      </c>
      <c r="F5" s="520">
        <f t="shared" si="0"/>
        <v>0</v>
      </c>
      <c r="G5" s="520">
        <f t="shared" si="0"/>
        <v>0</v>
      </c>
      <c r="H5" s="520">
        <f t="shared" si="0"/>
        <v>0</v>
      </c>
      <c r="I5" s="520">
        <f t="shared" si="0"/>
        <v>0</v>
      </c>
      <c r="J5" s="519">
        <f t="shared" si="0"/>
        <v>1784.54</v>
      </c>
      <c r="K5" s="519">
        <f aca="true" t="shared" si="1" ref="K5:P5">K6+K16+K62+K64+K70+K107+K132+K138+K101+K145+K147+K149</f>
        <v>232.04999999999995</v>
      </c>
      <c r="L5" s="519">
        <f t="shared" si="1"/>
        <v>0</v>
      </c>
      <c r="M5" s="519">
        <f t="shared" si="1"/>
        <v>43.75</v>
      </c>
      <c r="N5" s="519">
        <f t="shared" si="1"/>
        <v>1.25</v>
      </c>
      <c r="O5" s="519">
        <f t="shared" si="1"/>
        <v>274.875</v>
      </c>
      <c r="P5" s="519">
        <f t="shared" si="1"/>
        <v>520.675</v>
      </c>
      <c r="Q5" s="519">
        <f aca="true" t="shared" si="2" ref="Q5:V6">SUM(E5+K5)</f>
        <v>98.35</v>
      </c>
      <c r="R5" s="519">
        <f t="shared" si="2"/>
        <v>0</v>
      </c>
      <c r="S5" s="519">
        <f t="shared" si="2"/>
        <v>43.75</v>
      </c>
      <c r="T5" s="519">
        <f t="shared" si="2"/>
        <v>1.25</v>
      </c>
      <c r="U5" s="519">
        <f t="shared" si="2"/>
        <v>274.875</v>
      </c>
      <c r="V5" s="519">
        <f t="shared" si="2"/>
        <v>2305.215</v>
      </c>
    </row>
    <row r="6" spans="1:22" ht="19.5">
      <c r="A6" s="514" t="s">
        <v>266</v>
      </c>
      <c r="B6" s="514"/>
      <c r="C6" s="514"/>
      <c r="D6" s="514"/>
      <c r="E6" s="515">
        <f>SUM(E7+E8+E9)</f>
        <v>187.32</v>
      </c>
      <c r="F6" s="515">
        <f aca="true" t="shared" si="3" ref="F6:P6">SUM(F7+F8+F9)</f>
        <v>0</v>
      </c>
      <c r="G6" s="515">
        <f>SUM(G7+G8+G9)</f>
        <v>0</v>
      </c>
      <c r="H6" s="515">
        <f t="shared" si="3"/>
        <v>0</v>
      </c>
      <c r="I6" s="515">
        <f t="shared" si="3"/>
        <v>0</v>
      </c>
      <c r="J6" s="515">
        <f aca="true" t="shared" si="4" ref="J6:J14">SUM(E6+I6)</f>
        <v>187.32</v>
      </c>
      <c r="K6" s="515">
        <f t="shared" si="3"/>
        <v>153.33999999999997</v>
      </c>
      <c r="L6" s="515">
        <f t="shared" si="3"/>
        <v>0</v>
      </c>
      <c r="M6" s="515">
        <f t="shared" si="3"/>
        <v>25.5</v>
      </c>
      <c r="N6" s="515">
        <f t="shared" si="3"/>
        <v>0</v>
      </c>
      <c r="O6" s="515">
        <f t="shared" si="3"/>
        <v>38.25</v>
      </c>
      <c r="P6" s="515">
        <f t="shared" si="3"/>
        <v>191.58999999999997</v>
      </c>
      <c r="Q6" s="516">
        <f t="shared" si="2"/>
        <v>340.65999999999997</v>
      </c>
      <c r="R6" s="516">
        <f t="shared" si="2"/>
        <v>0</v>
      </c>
      <c r="S6" s="516">
        <f t="shared" si="2"/>
        <v>25.5</v>
      </c>
      <c r="T6" s="516">
        <f t="shared" si="2"/>
        <v>0</v>
      </c>
      <c r="U6" s="516">
        <f t="shared" si="2"/>
        <v>38.25</v>
      </c>
      <c r="V6" s="516">
        <f t="shared" si="2"/>
        <v>378.90999999999997</v>
      </c>
    </row>
    <row r="7" spans="1:22" ht="19.5">
      <c r="A7" s="373"/>
      <c r="B7" s="484" t="s">
        <v>205</v>
      </c>
      <c r="C7" s="484"/>
      <c r="D7" s="484"/>
      <c r="E7" s="287">
        <v>3</v>
      </c>
      <c r="F7" s="287">
        <v>0</v>
      </c>
      <c r="G7" s="287">
        <v>0</v>
      </c>
      <c r="H7" s="287">
        <v>0</v>
      </c>
      <c r="I7" s="288">
        <f aca="true" t="shared" si="5" ref="I7:I14">SUM(F7:H7)*1.5</f>
        <v>0</v>
      </c>
      <c r="J7" s="288">
        <f t="shared" si="4"/>
        <v>3</v>
      </c>
      <c r="K7" s="287"/>
      <c r="L7" s="287">
        <v>0</v>
      </c>
      <c r="M7" s="287">
        <v>0</v>
      </c>
      <c r="N7" s="287">
        <v>0</v>
      </c>
      <c r="O7" s="288">
        <f>SUM(L7:N7)*1.5</f>
        <v>0</v>
      </c>
      <c r="P7" s="288">
        <f>K7+O7</f>
        <v>0</v>
      </c>
      <c r="Q7" s="474">
        <f aca="true" t="shared" si="6" ref="Q7:Q69">SUM(E7+K7)</f>
        <v>3</v>
      </c>
      <c r="R7" s="474">
        <f aca="true" t="shared" si="7" ref="R7:R69">SUM(F7+L7)</f>
        <v>0</v>
      </c>
      <c r="S7" s="474">
        <f aca="true" t="shared" si="8" ref="S7:S69">SUM(G7+M7)</f>
        <v>0</v>
      </c>
      <c r="T7" s="474">
        <f aca="true" t="shared" si="9" ref="T7:T69">SUM(H7+N7)</f>
        <v>0</v>
      </c>
      <c r="U7" s="474">
        <f aca="true" t="shared" si="10" ref="U7:U69">SUM(I7+O7)</f>
        <v>0</v>
      </c>
      <c r="V7" s="474">
        <f aca="true" t="shared" si="11" ref="V7:V69">SUM(J7+P7)</f>
        <v>3</v>
      </c>
    </row>
    <row r="8" spans="1:22" ht="19.5">
      <c r="A8" s="373"/>
      <c r="B8" s="484" t="s">
        <v>206</v>
      </c>
      <c r="C8" s="484"/>
      <c r="D8" s="484"/>
      <c r="E8" s="287">
        <v>0</v>
      </c>
      <c r="F8" s="287">
        <v>0</v>
      </c>
      <c r="G8" s="287">
        <v>0</v>
      </c>
      <c r="H8" s="287">
        <v>0</v>
      </c>
      <c r="I8" s="288">
        <f t="shared" si="5"/>
        <v>0</v>
      </c>
      <c r="J8" s="288">
        <f t="shared" si="4"/>
        <v>0</v>
      </c>
      <c r="K8" s="287">
        <v>98.35</v>
      </c>
      <c r="L8" s="287">
        <v>0</v>
      </c>
      <c r="M8" s="287">
        <v>0</v>
      </c>
      <c r="N8" s="287">
        <v>0</v>
      </c>
      <c r="O8" s="288">
        <f>SUM(L8:N8)*1.5</f>
        <v>0</v>
      </c>
      <c r="P8" s="288">
        <f>K8+O8</f>
        <v>98.35</v>
      </c>
      <c r="Q8" s="474">
        <f t="shared" si="6"/>
        <v>98.35</v>
      </c>
      <c r="R8" s="474">
        <f t="shared" si="7"/>
        <v>0</v>
      </c>
      <c r="S8" s="474">
        <f t="shared" si="8"/>
        <v>0</v>
      </c>
      <c r="T8" s="474">
        <f t="shared" si="9"/>
        <v>0</v>
      </c>
      <c r="U8" s="474">
        <f t="shared" si="10"/>
        <v>0</v>
      </c>
      <c r="V8" s="474">
        <f t="shared" si="11"/>
        <v>98.35</v>
      </c>
    </row>
    <row r="9" spans="1:22" ht="19.5">
      <c r="A9" s="373"/>
      <c r="B9" s="484" t="s">
        <v>207</v>
      </c>
      <c r="C9" s="484"/>
      <c r="D9" s="484"/>
      <c r="E9" s="287">
        <f>SUM(E10:E13)</f>
        <v>184.32</v>
      </c>
      <c r="F9" s="287">
        <f>SUM(F10:F13)</f>
        <v>0</v>
      </c>
      <c r="G9" s="287">
        <f>SUM(G10:G13)</f>
        <v>0</v>
      </c>
      <c r="H9" s="287">
        <f>SUM(H10:H13)</f>
        <v>0</v>
      </c>
      <c r="I9" s="287">
        <f t="shared" si="5"/>
        <v>0</v>
      </c>
      <c r="J9" s="287">
        <f t="shared" si="4"/>
        <v>184.32</v>
      </c>
      <c r="K9" s="287">
        <f aca="true" t="shared" si="12" ref="K9:P9">SUM(K10:K13)</f>
        <v>54.989999999999995</v>
      </c>
      <c r="L9" s="287">
        <f t="shared" si="12"/>
        <v>0</v>
      </c>
      <c r="M9" s="287">
        <f t="shared" si="12"/>
        <v>25.5</v>
      </c>
      <c r="N9" s="287">
        <f t="shared" si="12"/>
        <v>0</v>
      </c>
      <c r="O9" s="287">
        <f t="shared" si="12"/>
        <v>38.25</v>
      </c>
      <c r="P9" s="287">
        <f t="shared" si="12"/>
        <v>93.24</v>
      </c>
      <c r="Q9" s="474">
        <f t="shared" si="6"/>
        <v>239.31</v>
      </c>
      <c r="R9" s="474">
        <f t="shared" si="7"/>
        <v>0</v>
      </c>
      <c r="S9" s="474">
        <f t="shared" si="8"/>
        <v>25.5</v>
      </c>
      <c r="T9" s="474">
        <f t="shared" si="9"/>
        <v>0</v>
      </c>
      <c r="U9" s="474">
        <f t="shared" si="10"/>
        <v>38.25</v>
      </c>
      <c r="V9" s="474">
        <f t="shared" si="11"/>
        <v>277.56</v>
      </c>
    </row>
    <row r="10" spans="1:22" ht="19.5">
      <c r="A10" s="373"/>
      <c r="B10" s="485"/>
      <c r="C10" s="485"/>
      <c r="D10" s="485" t="s">
        <v>201</v>
      </c>
      <c r="E10" s="290">
        <v>150.65</v>
      </c>
      <c r="F10" s="287">
        <v>0</v>
      </c>
      <c r="G10" s="287">
        <v>0</v>
      </c>
      <c r="H10" s="287">
        <v>0</v>
      </c>
      <c r="I10" s="287">
        <f t="shared" si="5"/>
        <v>0</v>
      </c>
      <c r="J10" s="287">
        <f t="shared" si="4"/>
        <v>150.65</v>
      </c>
      <c r="K10" s="287">
        <f>41.65</f>
        <v>41.65</v>
      </c>
      <c r="L10" s="287">
        <v>0</v>
      </c>
      <c r="M10" s="287">
        <v>0</v>
      </c>
      <c r="N10" s="287">
        <v>0</v>
      </c>
      <c r="O10" s="288">
        <f aca="true" t="shared" si="13" ref="O10:O15">SUM(L10:N10)*1.5</f>
        <v>0</v>
      </c>
      <c r="P10" s="288">
        <f>K10+O10</f>
        <v>41.65</v>
      </c>
      <c r="Q10" s="474">
        <f t="shared" si="6"/>
        <v>192.3</v>
      </c>
      <c r="R10" s="474">
        <f t="shared" si="7"/>
        <v>0</v>
      </c>
      <c r="S10" s="474">
        <f t="shared" si="8"/>
        <v>0</v>
      </c>
      <c r="T10" s="474">
        <f t="shared" si="9"/>
        <v>0</v>
      </c>
      <c r="U10" s="474">
        <f t="shared" si="10"/>
        <v>0</v>
      </c>
      <c r="V10" s="474">
        <f t="shared" si="11"/>
        <v>192.3</v>
      </c>
    </row>
    <row r="11" spans="1:22" ht="19.5">
      <c r="A11" s="373"/>
      <c r="B11" s="485"/>
      <c r="C11" s="485"/>
      <c r="D11" s="485" t="s">
        <v>202</v>
      </c>
      <c r="E11" s="287">
        <v>33.67</v>
      </c>
      <c r="F11" s="287">
        <v>0</v>
      </c>
      <c r="G11" s="287">
        <v>0</v>
      </c>
      <c r="H11" s="287">
        <v>0</v>
      </c>
      <c r="I11" s="287">
        <f t="shared" si="5"/>
        <v>0</v>
      </c>
      <c r="J11" s="287">
        <f t="shared" si="4"/>
        <v>33.67</v>
      </c>
      <c r="K11" s="287">
        <v>13.34</v>
      </c>
      <c r="L11" s="287">
        <v>0</v>
      </c>
      <c r="M11" s="287">
        <v>0</v>
      </c>
      <c r="N11" s="287">
        <v>0</v>
      </c>
      <c r="O11" s="288">
        <f t="shared" si="13"/>
        <v>0</v>
      </c>
      <c r="P11" s="288">
        <f>K11+O11</f>
        <v>13.34</v>
      </c>
      <c r="Q11" s="474">
        <f t="shared" si="6"/>
        <v>47.010000000000005</v>
      </c>
      <c r="R11" s="474">
        <f t="shared" si="7"/>
        <v>0</v>
      </c>
      <c r="S11" s="474">
        <f t="shared" si="8"/>
        <v>0</v>
      </c>
      <c r="T11" s="474">
        <f t="shared" si="9"/>
        <v>0</v>
      </c>
      <c r="U11" s="474">
        <f t="shared" si="10"/>
        <v>0</v>
      </c>
      <c r="V11" s="474">
        <f t="shared" si="11"/>
        <v>47.010000000000005</v>
      </c>
    </row>
    <row r="12" spans="1:22" ht="19.5">
      <c r="A12" s="373"/>
      <c r="B12" s="485"/>
      <c r="C12" s="485"/>
      <c r="D12" s="485" t="s">
        <v>203</v>
      </c>
      <c r="E12" s="290">
        <v>0</v>
      </c>
      <c r="F12" s="287">
        <v>0</v>
      </c>
      <c r="G12" s="287">
        <v>0</v>
      </c>
      <c r="H12" s="287">
        <v>0</v>
      </c>
      <c r="I12" s="287">
        <f t="shared" si="5"/>
        <v>0</v>
      </c>
      <c r="J12" s="287">
        <f t="shared" si="4"/>
        <v>0</v>
      </c>
      <c r="K12" s="287">
        <v>0</v>
      </c>
      <c r="L12" s="287">
        <v>0</v>
      </c>
      <c r="M12" s="287">
        <v>0</v>
      </c>
      <c r="N12" s="287">
        <v>0</v>
      </c>
      <c r="O12" s="288">
        <f t="shared" si="13"/>
        <v>0</v>
      </c>
      <c r="P12" s="288">
        <f>K12+O12</f>
        <v>0</v>
      </c>
      <c r="Q12" s="474">
        <f t="shared" si="6"/>
        <v>0</v>
      </c>
      <c r="R12" s="474">
        <f t="shared" si="7"/>
        <v>0</v>
      </c>
      <c r="S12" s="474">
        <f t="shared" si="8"/>
        <v>0</v>
      </c>
      <c r="T12" s="474">
        <f t="shared" si="9"/>
        <v>0</v>
      </c>
      <c r="U12" s="474">
        <f t="shared" si="10"/>
        <v>0</v>
      </c>
      <c r="V12" s="474">
        <f t="shared" si="11"/>
        <v>0</v>
      </c>
    </row>
    <row r="13" spans="1:22" ht="19.5">
      <c r="A13" s="373"/>
      <c r="B13" s="485"/>
      <c r="C13" s="485"/>
      <c r="D13" s="485" t="s">
        <v>314</v>
      </c>
      <c r="E13" s="287">
        <v>0</v>
      </c>
      <c r="F13" s="287">
        <v>0</v>
      </c>
      <c r="G13" s="287">
        <v>0</v>
      </c>
      <c r="H13" s="287">
        <v>0</v>
      </c>
      <c r="I13" s="287">
        <f t="shared" si="5"/>
        <v>0</v>
      </c>
      <c r="J13" s="287">
        <f t="shared" si="4"/>
        <v>0</v>
      </c>
      <c r="K13" s="287">
        <v>0</v>
      </c>
      <c r="L13" s="287">
        <v>0</v>
      </c>
      <c r="M13" s="287">
        <v>25.5</v>
      </c>
      <c r="N13" s="287">
        <v>0</v>
      </c>
      <c r="O13" s="288">
        <f t="shared" si="13"/>
        <v>38.25</v>
      </c>
      <c r="P13" s="288">
        <f>K13+O13</f>
        <v>38.25</v>
      </c>
      <c r="Q13" s="474">
        <f t="shared" si="6"/>
        <v>0</v>
      </c>
      <c r="R13" s="474">
        <f t="shared" si="7"/>
        <v>0</v>
      </c>
      <c r="S13" s="474">
        <f t="shared" si="8"/>
        <v>25.5</v>
      </c>
      <c r="T13" s="474">
        <f t="shared" si="9"/>
        <v>0</v>
      </c>
      <c r="U13" s="474">
        <f t="shared" si="10"/>
        <v>38.25</v>
      </c>
      <c r="V13" s="474">
        <f t="shared" si="11"/>
        <v>38.25</v>
      </c>
    </row>
    <row r="14" spans="1:22" ht="19.5">
      <c r="A14" s="486"/>
      <c r="B14" s="22"/>
      <c r="C14" s="22"/>
      <c r="D14" s="486" t="s">
        <v>197</v>
      </c>
      <c r="E14" s="315">
        <v>0</v>
      </c>
      <c r="F14" s="315">
        <v>0</v>
      </c>
      <c r="G14" s="315">
        <v>0</v>
      </c>
      <c r="H14" s="315">
        <v>0</v>
      </c>
      <c r="I14" s="487">
        <f t="shared" si="5"/>
        <v>0</v>
      </c>
      <c r="J14" s="487">
        <f t="shared" si="4"/>
        <v>0</v>
      </c>
      <c r="K14" s="315">
        <v>0</v>
      </c>
      <c r="L14" s="315">
        <v>0</v>
      </c>
      <c r="M14" s="315">
        <v>0</v>
      </c>
      <c r="N14" s="315">
        <v>0</v>
      </c>
      <c r="O14" s="315">
        <f t="shared" si="13"/>
        <v>0</v>
      </c>
      <c r="P14" s="316">
        <f>K14+O14</f>
        <v>0</v>
      </c>
      <c r="Q14" s="316">
        <f t="shared" si="6"/>
        <v>0</v>
      </c>
      <c r="R14" s="316">
        <f t="shared" si="7"/>
        <v>0</v>
      </c>
      <c r="S14" s="316">
        <f t="shared" si="8"/>
        <v>0</v>
      </c>
      <c r="T14" s="316">
        <f t="shared" si="9"/>
        <v>0</v>
      </c>
      <c r="U14" s="316">
        <f t="shared" si="10"/>
        <v>0</v>
      </c>
      <c r="V14" s="316">
        <f t="shared" si="11"/>
        <v>0</v>
      </c>
    </row>
    <row r="15" spans="1:22" ht="19.5" hidden="1">
      <c r="A15" s="485" t="s">
        <v>24</v>
      </c>
      <c r="B15" s="485"/>
      <c r="C15" s="485"/>
      <c r="D15" s="485"/>
      <c r="E15" s="287"/>
      <c r="F15" s="287"/>
      <c r="G15" s="287"/>
      <c r="H15" s="287"/>
      <c r="I15" s="288"/>
      <c r="J15" s="288"/>
      <c r="K15" s="287"/>
      <c r="L15" s="287"/>
      <c r="M15" s="287"/>
      <c r="N15" s="287"/>
      <c r="O15" s="288">
        <f t="shared" si="13"/>
        <v>0</v>
      </c>
      <c r="P15" s="288"/>
      <c r="Q15" s="472">
        <f t="shared" si="6"/>
        <v>0</v>
      </c>
      <c r="R15" s="472">
        <f t="shared" si="7"/>
        <v>0</v>
      </c>
      <c r="S15" s="472">
        <f t="shared" si="8"/>
        <v>0</v>
      </c>
      <c r="T15" s="472">
        <f t="shared" si="9"/>
        <v>0</v>
      </c>
      <c r="U15" s="472">
        <f t="shared" si="10"/>
        <v>0</v>
      </c>
      <c r="V15" s="472">
        <f t="shared" si="11"/>
        <v>0</v>
      </c>
    </row>
    <row r="16" spans="1:22" ht="19.5">
      <c r="A16" s="483" t="s">
        <v>267</v>
      </c>
      <c r="B16" s="483"/>
      <c r="C16" s="483"/>
      <c r="D16" s="483"/>
      <c r="E16" s="479">
        <f aca="true" t="shared" si="14" ref="E16:J16">SUM(E17+E51+E57)</f>
        <v>60.16</v>
      </c>
      <c r="F16" s="479">
        <f t="shared" si="14"/>
        <v>0</v>
      </c>
      <c r="G16" s="479">
        <f t="shared" si="14"/>
        <v>0</v>
      </c>
      <c r="H16" s="479">
        <f t="shared" si="14"/>
        <v>0</v>
      </c>
      <c r="I16" s="479">
        <f t="shared" si="14"/>
        <v>0</v>
      </c>
      <c r="J16" s="479">
        <f t="shared" si="14"/>
        <v>60.16</v>
      </c>
      <c r="K16" s="479">
        <f aca="true" t="shared" si="15" ref="K16:P16">SUM(K17+K51+K57)</f>
        <v>0</v>
      </c>
      <c r="L16" s="479">
        <f t="shared" si="15"/>
        <v>0</v>
      </c>
      <c r="M16" s="479">
        <f t="shared" si="15"/>
        <v>0</v>
      </c>
      <c r="N16" s="479">
        <f t="shared" si="15"/>
        <v>0</v>
      </c>
      <c r="O16" s="479">
        <f t="shared" si="15"/>
        <v>206.625</v>
      </c>
      <c r="P16" s="479">
        <f t="shared" si="15"/>
        <v>211.375</v>
      </c>
      <c r="Q16" s="473">
        <f t="shared" si="6"/>
        <v>60.16</v>
      </c>
      <c r="R16" s="473">
        <f t="shared" si="7"/>
        <v>0</v>
      </c>
      <c r="S16" s="473">
        <f t="shared" si="8"/>
        <v>0</v>
      </c>
      <c r="T16" s="473">
        <f t="shared" si="9"/>
        <v>0</v>
      </c>
      <c r="U16" s="473">
        <f t="shared" si="10"/>
        <v>206.625</v>
      </c>
      <c r="V16" s="473">
        <f t="shared" si="11"/>
        <v>271.53499999999997</v>
      </c>
    </row>
    <row r="17" spans="1:22" ht="19.5">
      <c r="A17" s="484"/>
      <c r="B17" s="488" t="s">
        <v>167</v>
      </c>
      <c r="C17" s="484"/>
      <c r="D17" s="484"/>
      <c r="E17" s="287">
        <f aca="true" t="shared" si="16" ref="E17:K17">SUM(E18+E24+E29+E34+E40+E46+E47)</f>
        <v>60.16</v>
      </c>
      <c r="F17" s="287">
        <f t="shared" si="16"/>
        <v>0</v>
      </c>
      <c r="G17" s="287">
        <f t="shared" si="16"/>
        <v>0</v>
      </c>
      <c r="H17" s="287">
        <f t="shared" si="16"/>
        <v>0</v>
      </c>
      <c r="I17" s="287">
        <f t="shared" si="16"/>
        <v>0</v>
      </c>
      <c r="J17" s="287">
        <f t="shared" si="16"/>
        <v>60.16</v>
      </c>
      <c r="K17" s="287">
        <f t="shared" si="16"/>
        <v>0</v>
      </c>
      <c r="L17" s="287">
        <v>0</v>
      </c>
      <c r="M17" s="287">
        <v>0</v>
      </c>
      <c r="N17" s="287">
        <v>0</v>
      </c>
      <c r="O17" s="287">
        <f>SUM(O18+O24+O29+O34+O40+O46+O47)</f>
        <v>206.625</v>
      </c>
      <c r="P17" s="287">
        <f>SUM(P18+P24+P29+P34+P40+P46+P47)</f>
        <v>211.375</v>
      </c>
      <c r="Q17" s="474">
        <f t="shared" si="6"/>
        <v>60.16</v>
      </c>
      <c r="R17" s="474">
        <f t="shared" si="7"/>
        <v>0</v>
      </c>
      <c r="S17" s="474">
        <f t="shared" si="8"/>
        <v>0</v>
      </c>
      <c r="T17" s="474">
        <f t="shared" si="9"/>
        <v>0</v>
      </c>
      <c r="U17" s="474">
        <f t="shared" si="10"/>
        <v>206.625</v>
      </c>
      <c r="V17" s="474">
        <f t="shared" si="11"/>
        <v>271.53499999999997</v>
      </c>
    </row>
    <row r="18" spans="1:22" ht="19.5">
      <c r="A18" s="465"/>
      <c r="B18" s="489"/>
      <c r="C18" s="481" t="s">
        <v>168</v>
      </c>
      <c r="D18" s="465"/>
      <c r="E18" s="463">
        <f aca="true" t="shared" si="17" ref="E18:J18">SUM(E19:E22)</f>
        <v>0</v>
      </c>
      <c r="F18" s="463">
        <f t="shared" si="17"/>
        <v>0</v>
      </c>
      <c r="G18" s="463">
        <f t="shared" si="17"/>
        <v>0</v>
      </c>
      <c r="H18" s="463">
        <f t="shared" si="17"/>
        <v>0</v>
      </c>
      <c r="I18" s="463">
        <f t="shared" si="17"/>
        <v>0</v>
      </c>
      <c r="J18" s="463">
        <f t="shared" si="17"/>
        <v>0</v>
      </c>
      <c r="K18" s="463">
        <f aca="true" t="shared" si="18" ref="K18:P18">SUM(K19:K22)</f>
        <v>0</v>
      </c>
      <c r="L18" s="463">
        <f t="shared" si="18"/>
        <v>0</v>
      </c>
      <c r="M18" s="463">
        <f t="shared" si="18"/>
        <v>7.25</v>
      </c>
      <c r="N18" s="463">
        <f t="shared" si="18"/>
        <v>0</v>
      </c>
      <c r="O18" s="463">
        <f t="shared" si="18"/>
        <v>10.875</v>
      </c>
      <c r="P18" s="463">
        <f t="shared" si="18"/>
        <v>15.625</v>
      </c>
      <c r="Q18" s="472">
        <f t="shared" si="6"/>
        <v>0</v>
      </c>
      <c r="R18" s="472">
        <f t="shared" si="7"/>
        <v>0</v>
      </c>
      <c r="S18" s="472">
        <f t="shared" si="8"/>
        <v>7.25</v>
      </c>
      <c r="T18" s="472">
        <f t="shared" si="9"/>
        <v>0</v>
      </c>
      <c r="U18" s="472">
        <f t="shared" si="10"/>
        <v>10.875</v>
      </c>
      <c r="V18" s="472">
        <f t="shared" si="11"/>
        <v>15.625</v>
      </c>
    </row>
    <row r="19" spans="1:22" ht="19.5">
      <c r="A19" s="373"/>
      <c r="B19" s="490"/>
      <c r="C19" s="490"/>
      <c r="D19" s="18" t="s">
        <v>243</v>
      </c>
      <c r="E19" s="290">
        <v>0</v>
      </c>
      <c r="F19" s="288">
        <v>0</v>
      </c>
      <c r="G19" s="288">
        <v>0</v>
      </c>
      <c r="H19" s="288">
        <v>0</v>
      </c>
      <c r="I19" s="288">
        <f>SUM(F19:H19)*1.5</f>
        <v>0</v>
      </c>
      <c r="J19" s="288">
        <f>SUM(E19+I19)</f>
        <v>0</v>
      </c>
      <c r="K19" s="288">
        <v>0</v>
      </c>
      <c r="L19" s="288">
        <v>0</v>
      </c>
      <c r="M19" s="288">
        <v>0</v>
      </c>
      <c r="N19" s="288">
        <v>0</v>
      </c>
      <c r="O19" s="288">
        <f>SUM(L19:N19)*1.5</f>
        <v>0</v>
      </c>
      <c r="P19" s="287">
        <f>K19+O19</f>
        <v>0</v>
      </c>
      <c r="Q19" s="474">
        <f t="shared" si="6"/>
        <v>0</v>
      </c>
      <c r="R19" s="474">
        <f t="shared" si="7"/>
        <v>0</v>
      </c>
      <c r="S19" s="474">
        <f t="shared" si="8"/>
        <v>0</v>
      </c>
      <c r="T19" s="474">
        <f t="shared" si="9"/>
        <v>0</v>
      </c>
      <c r="U19" s="474">
        <f t="shared" si="10"/>
        <v>0</v>
      </c>
      <c r="V19" s="474">
        <f t="shared" si="11"/>
        <v>0</v>
      </c>
    </row>
    <row r="20" spans="1:22" ht="19.5">
      <c r="A20" s="373"/>
      <c r="B20" s="490"/>
      <c r="C20" s="490"/>
      <c r="D20" s="18" t="s">
        <v>244</v>
      </c>
      <c r="E20" s="461">
        <v>0</v>
      </c>
      <c r="F20" s="461">
        <v>0</v>
      </c>
      <c r="G20" s="290">
        <v>0</v>
      </c>
      <c r="H20" s="288">
        <v>0</v>
      </c>
      <c r="I20" s="288">
        <f>SUM(F20:H20)*1.5</f>
        <v>0</v>
      </c>
      <c r="J20" s="288">
        <f>SUM(E20+I20)</f>
        <v>0</v>
      </c>
      <c r="K20" s="288">
        <v>0</v>
      </c>
      <c r="L20" s="288">
        <v>0</v>
      </c>
      <c r="M20" s="288"/>
      <c r="N20" s="288">
        <v>0</v>
      </c>
      <c r="O20" s="288">
        <f>SUM(L20:N20)*1.5</f>
        <v>0</v>
      </c>
      <c r="P20" s="287">
        <f>M20+O20</f>
        <v>0</v>
      </c>
      <c r="Q20" s="474">
        <f t="shared" si="6"/>
        <v>0</v>
      </c>
      <c r="R20" s="474">
        <f t="shared" si="7"/>
        <v>0</v>
      </c>
      <c r="S20" s="474">
        <f t="shared" si="8"/>
        <v>0</v>
      </c>
      <c r="T20" s="474">
        <f t="shared" si="9"/>
        <v>0</v>
      </c>
      <c r="U20" s="474">
        <f t="shared" si="10"/>
        <v>0</v>
      </c>
      <c r="V20" s="474">
        <f t="shared" si="11"/>
        <v>0</v>
      </c>
    </row>
    <row r="21" spans="1:22" ht="19.5">
      <c r="A21" s="373"/>
      <c r="B21" s="490"/>
      <c r="C21" s="490"/>
      <c r="D21" s="18" t="s">
        <v>245</v>
      </c>
      <c r="E21" s="461">
        <v>0</v>
      </c>
      <c r="F21" s="461">
        <v>0</v>
      </c>
      <c r="G21" s="290">
        <v>0</v>
      </c>
      <c r="H21" s="288">
        <v>0</v>
      </c>
      <c r="I21" s="288">
        <f>SUM(F21:H21)*1.5</f>
        <v>0</v>
      </c>
      <c r="J21" s="288">
        <f>SUM(E21+I21)</f>
        <v>0</v>
      </c>
      <c r="K21" s="288">
        <v>0</v>
      </c>
      <c r="L21" s="288">
        <v>0</v>
      </c>
      <c r="M21" s="288">
        <v>4.75</v>
      </c>
      <c r="N21" s="288">
        <v>0</v>
      </c>
      <c r="O21" s="288">
        <f>SUM(L21:N21)*1.5</f>
        <v>7.125</v>
      </c>
      <c r="P21" s="287">
        <f>M21+O21</f>
        <v>11.875</v>
      </c>
      <c r="Q21" s="474">
        <f t="shared" si="6"/>
        <v>0</v>
      </c>
      <c r="R21" s="474">
        <f t="shared" si="7"/>
        <v>0</v>
      </c>
      <c r="S21" s="474">
        <f t="shared" si="8"/>
        <v>4.75</v>
      </c>
      <c r="T21" s="474">
        <f t="shared" si="9"/>
        <v>0</v>
      </c>
      <c r="U21" s="474">
        <f t="shared" si="10"/>
        <v>7.125</v>
      </c>
      <c r="V21" s="474">
        <f t="shared" si="11"/>
        <v>11.875</v>
      </c>
    </row>
    <row r="22" spans="1:22" ht="19.5">
      <c r="A22" s="491"/>
      <c r="B22" s="492"/>
      <c r="C22" s="492"/>
      <c r="D22" s="493" t="s">
        <v>242</v>
      </c>
      <c r="E22" s="332">
        <v>0</v>
      </c>
      <c r="F22" s="332"/>
      <c r="G22" s="333">
        <v>0</v>
      </c>
      <c r="H22" s="333">
        <v>0</v>
      </c>
      <c r="I22" s="333">
        <f>SUM(F22:H22)*1.5</f>
        <v>0</v>
      </c>
      <c r="J22" s="333">
        <f>SUM(E22+I22)</f>
        <v>0</v>
      </c>
      <c r="K22" s="333">
        <v>0</v>
      </c>
      <c r="L22" s="333">
        <v>0</v>
      </c>
      <c r="M22" s="333">
        <v>2.5</v>
      </c>
      <c r="N22" s="333">
        <v>0</v>
      </c>
      <c r="O22" s="333">
        <f>SUM(L22:N22)*1.5</f>
        <v>3.75</v>
      </c>
      <c r="P22" s="332">
        <f>K22+O22</f>
        <v>3.75</v>
      </c>
      <c r="Q22" s="475">
        <f t="shared" si="6"/>
        <v>0</v>
      </c>
      <c r="R22" s="475">
        <f t="shared" si="7"/>
        <v>0</v>
      </c>
      <c r="S22" s="475">
        <f t="shared" si="8"/>
        <v>2.5</v>
      </c>
      <c r="T22" s="475">
        <f t="shared" si="9"/>
        <v>0</v>
      </c>
      <c r="U22" s="475">
        <f t="shared" si="10"/>
        <v>3.75</v>
      </c>
      <c r="V22" s="475">
        <f t="shared" si="11"/>
        <v>3.75</v>
      </c>
    </row>
    <row r="23" spans="1:22" ht="19.5">
      <c r="A23" s="486"/>
      <c r="B23" s="494"/>
      <c r="C23" s="494"/>
      <c r="D23" s="22" t="s">
        <v>197</v>
      </c>
      <c r="E23" s="316">
        <v>0</v>
      </c>
      <c r="F23" s="316">
        <v>0</v>
      </c>
      <c r="G23" s="316"/>
      <c r="H23" s="316">
        <v>0</v>
      </c>
      <c r="I23" s="316">
        <f>SUM(F23:H23)*1.5</f>
        <v>0</v>
      </c>
      <c r="J23" s="316">
        <f>SUM(E23+I23)</f>
        <v>0</v>
      </c>
      <c r="K23" s="316">
        <v>0</v>
      </c>
      <c r="L23" s="316">
        <v>0</v>
      </c>
      <c r="M23" s="316">
        <v>1</v>
      </c>
      <c r="N23" s="316">
        <v>0</v>
      </c>
      <c r="O23" s="316">
        <f>SUM(L23:N23)*1.5</f>
        <v>1.5</v>
      </c>
      <c r="P23" s="315">
        <f>K23+O23</f>
        <v>1.5</v>
      </c>
      <c r="Q23" s="316">
        <f t="shared" si="6"/>
        <v>0</v>
      </c>
      <c r="R23" s="316">
        <f t="shared" si="7"/>
        <v>0</v>
      </c>
      <c r="S23" s="316">
        <f t="shared" si="8"/>
        <v>1</v>
      </c>
      <c r="T23" s="316">
        <f t="shared" si="9"/>
        <v>0</v>
      </c>
      <c r="U23" s="316">
        <f t="shared" si="10"/>
        <v>1.5</v>
      </c>
      <c r="V23" s="316">
        <f t="shared" si="11"/>
        <v>1.5</v>
      </c>
    </row>
    <row r="24" spans="1:22" ht="19.5">
      <c r="A24" s="465"/>
      <c r="B24" s="489"/>
      <c r="C24" s="481" t="s">
        <v>173</v>
      </c>
      <c r="D24" s="465"/>
      <c r="E24" s="462">
        <f>SUM(E25:E26)+E28</f>
        <v>29.06</v>
      </c>
      <c r="F24" s="462">
        <f aca="true" t="shared" si="19" ref="F24:P24">SUM(F25:F26)+F28</f>
        <v>0</v>
      </c>
      <c r="G24" s="462">
        <f t="shared" si="19"/>
        <v>0</v>
      </c>
      <c r="H24" s="462">
        <f t="shared" si="19"/>
        <v>0</v>
      </c>
      <c r="I24" s="462">
        <f t="shared" si="19"/>
        <v>0</v>
      </c>
      <c r="J24" s="462">
        <f t="shared" si="19"/>
        <v>29.06</v>
      </c>
      <c r="K24" s="462">
        <f t="shared" si="19"/>
        <v>0</v>
      </c>
      <c r="L24" s="462">
        <f t="shared" si="19"/>
        <v>0</v>
      </c>
      <c r="M24" s="462">
        <f t="shared" si="19"/>
        <v>14.25</v>
      </c>
      <c r="N24" s="462">
        <f t="shared" si="19"/>
        <v>0</v>
      </c>
      <c r="O24" s="462">
        <f t="shared" si="19"/>
        <v>21.375</v>
      </c>
      <c r="P24" s="462">
        <f t="shared" si="19"/>
        <v>21.375</v>
      </c>
      <c r="Q24" s="472">
        <f t="shared" si="6"/>
        <v>29.06</v>
      </c>
      <c r="R24" s="472">
        <f t="shared" si="7"/>
        <v>0</v>
      </c>
      <c r="S24" s="472">
        <f t="shared" si="8"/>
        <v>14.25</v>
      </c>
      <c r="T24" s="472">
        <f t="shared" si="9"/>
        <v>0</v>
      </c>
      <c r="U24" s="472">
        <f t="shared" si="10"/>
        <v>21.375</v>
      </c>
      <c r="V24" s="472">
        <f t="shared" si="11"/>
        <v>50.435</v>
      </c>
    </row>
    <row r="25" spans="1:22" ht="19.5">
      <c r="A25" s="373"/>
      <c r="B25" s="490"/>
      <c r="C25" s="484"/>
      <c r="D25" s="18" t="s">
        <v>247</v>
      </c>
      <c r="E25" s="287">
        <v>0</v>
      </c>
      <c r="F25" s="287">
        <v>0</v>
      </c>
      <c r="G25" s="287">
        <v>0</v>
      </c>
      <c r="H25" s="287">
        <v>0</v>
      </c>
      <c r="I25" s="288">
        <f>SUM(F25:H25)*1.5</f>
        <v>0</v>
      </c>
      <c r="J25" s="293">
        <f>SUM(E25+I25)</f>
        <v>0</v>
      </c>
      <c r="K25" s="287">
        <v>0</v>
      </c>
      <c r="L25" s="287">
        <v>0</v>
      </c>
      <c r="M25" s="287">
        <v>14.25</v>
      </c>
      <c r="N25" s="287">
        <v>0</v>
      </c>
      <c r="O25" s="288">
        <f>SUM(L25:N25)*1.5</f>
        <v>21.375</v>
      </c>
      <c r="P25" s="287">
        <f>K25+O25</f>
        <v>21.375</v>
      </c>
      <c r="Q25" s="474">
        <f t="shared" si="6"/>
        <v>0</v>
      </c>
      <c r="R25" s="474">
        <f t="shared" si="7"/>
        <v>0</v>
      </c>
      <c r="S25" s="474">
        <f t="shared" si="8"/>
        <v>14.25</v>
      </c>
      <c r="T25" s="474">
        <f t="shared" si="9"/>
        <v>0</v>
      </c>
      <c r="U25" s="474">
        <f t="shared" si="10"/>
        <v>21.375</v>
      </c>
      <c r="V25" s="474">
        <f t="shared" si="11"/>
        <v>21.375</v>
      </c>
    </row>
    <row r="26" spans="1:22" ht="19.5">
      <c r="A26" s="491"/>
      <c r="B26" s="492"/>
      <c r="C26" s="495"/>
      <c r="D26" s="493" t="s">
        <v>242</v>
      </c>
      <c r="E26" s="332">
        <f>19.33+4.17+5.56</f>
        <v>29.06</v>
      </c>
      <c r="F26" s="332"/>
      <c r="G26" s="332"/>
      <c r="H26" s="332">
        <v>0</v>
      </c>
      <c r="I26" s="333">
        <f>SUM(F26:H26)*1.5</f>
        <v>0</v>
      </c>
      <c r="J26" s="335">
        <f>SUM(E26+I26)</f>
        <v>29.06</v>
      </c>
      <c r="K26" s="332">
        <v>0</v>
      </c>
      <c r="L26" s="332">
        <v>0</v>
      </c>
      <c r="M26" s="332"/>
      <c r="N26" s="332">
        <v>0</v>
      </c>
      <c r="O26" s="333">
        <f>SUM(L26:N26)*1.5</f>
        <v>0</v>
      </c>
      <c r="P26" s="332">
        <f>K26+O26</f>
        <v>0</v>
      </c>
      <c r="Q26" s="475">
        <f t="shared" si="6"/>
        <v>29.06</v>
      </c>
      <c r="R26" s="475">
        <f t="shared" si="7"/>
        <v>0</v>
      </c>
      <c r="S26" s="475">
        <f t="shared" si="8"/>
        <v>0</v>
      </c>
      <c r="T26" s="475">
        <f t="shared" si="9"/>
        <v>0</v>
      </c>
      <c r="U26" s="475">
        <f t="shared" si="10"/>
        <v>0</v>
      </c>
      <c r="V26" s="475">
        <f t="shared" si="11"/>
        <v>29.06</v>
      </c>
    </row>
    <row r="27" spans="1:22" ht="19.5">
      <c r="A27" s="486"/>
      <c r="B27" s="494"/>
      <c r="C27" s="496"/>
      <c r="D27" s="22" t="s">
        <v>197</v>
      </c>
      <c r="E27" s="315">
        <v>0</v>
      </c>
      <c r="F27" s="315">
        <v>0</v>
      </c>
      <c r="G27" s="315"/>
      <c r="H27" s="315">
        <v>0</v>
      </c>
      <c r="I27" s="316">
        <f>SUM(F27:H27)*1.5</f>
        <v>0</v>
      </c>
      <c r="J27" s="322">
        <f>SUM(E27+I27)</f>
        <v>0</v>
      </c>
      <c r="K27" s="315">
        <v>0</v>
      </c>
      <c r="L27" s="315">
        <v>0</v>
      </c>
      <c r="M27" s="315"/>
      <c r="N27" s="315">
        <v>0</v>
      </c>
      <c r="O27" s="316">
        <f>SUM(L27:N27)*1.5</f>
        <v>0</v>
      </c>
      <c r="P27" s="315">
        <f>K27+O27</f>
        <v>0</v>
      </c>
      <c r="Q27" s="315">
        <f t="shared" si="6"/>
        <v>0</v>
      </c>
      <c r="R27" s="315">
        <f t="shared" si="7"/>
        <v>0</v>
      </c>
      <c r="S27" s="315">
        <f t="shared" si="8"/>
        <v>0</v>
      </c>
      <c r="T27" s="315">
        <f t="shared" si="9"/>
        <v>0</v>
      </c>
      <c r="U27" s="315">
        <f t="shared" si="10"/>
        <v>0</v>
      </c>
      <c r="V27" s="315">
        <f t="shared" si="11"/>
        <v>0</v>
      </c>
    </row>
    <row r="28" spans="1:22" ht="19.5">
      <c r="A28" s="373"/>
      <c r="B28" s="490"/>
      <c r="C28" s="484"/>
      <c r="D28" s="485" t="s">
        <v>246</v>
      </c>
      <c r="E28" s="287">
        <v>0</v>
      </c>
      <c r="F28" s="287">
        <v>0</v>
      </c>
      <c r="G28" s="287">
        <v>0</v>
      </c>
      <c r="H28" s="287">
        <v>0</v>
      </c>
      <c r="I28" s="288">
        <f>SUM(F28:H28)*1.5</f>
        <v>0</v>
      </c>
      <c r="J28" s="293">
        <f>SUM(E28+I28)</f>
        <v>0</v>
      </c>
      <c r="K28" s="287">
        <v>0</v>
      </c>
      <c r="L28" s="287">
        <v>0</v>
      </c>
      <c r="M28" s="287">
        <v>0</v>
      </c>
      <c r="N28" s="287">
        <v>0</v>
      </c>
      <c r="O28" s="288">
        <f>SUM(L28:N28)*1.5</f>
        <v>0</v>
      </c>
      <c r="P28" s="287">
        <f>K28+O28</f>
        <v>0</v>
      </c>
      <c r="Q28" s="474">
        <f t="shared" si="6"/>
        <v>0</v>
      </c>
      <c r="R28" s="474">
        <f t="shared" si="7"/>
        <v>0</v>
      </c>
      <c r="S28" s="474">
        <f t="shared" si="8"/>
        <v>0</v>
      </c>
      <c r="T28" s="474">
        <f t="shared" si="9"/>
        <v>0</v>
      </c>
      <c r="U28" s="474">
        <f t="shared" si="10"/>
        <v>0</v>
      </c>
      <c r="V28" s="474">
        <f t="shared" si="11"/>
        <v>0</v>
      </c>
    </row>
    <row r="29" spans="1:22" ht="19.5">
      <c r="A29" s="465"/>
      <c r="B29" s="489"/>
      <c r="C29" s="481" t="s">
        <v>169</v>
      </c>
      <c r="D29" s="465"/>
      <c r="E29" s="462">
        <f>SUM(E30:E32)</f>
        <v>0.11</v>
      </c>
      <c r="F29" s="462">
        <f aca="true" t="shared" si="20" ref="F29:P29">SUM(F30:F32)</f>
        <v>0</v>
      </c>
      <c r="G29" s="462">
        <f t="shared" si="20"/>
        <v>0</v>
      </c>
      <c r="H29" s="462">
        <f t="shared" si="20"/>
        <v>0</v>
      </c>
      <c r="I29" s="462">
        <f t="shared" si="20"/>
        <v>0</v>
      </c>
      <c r="J29" s="462">
        <f t="shared" si="20"/>
        <v>0.11</v>
      </c>
      <c r="K29" s="462">
        <f t="shared" si="20"/>
        <v>0</v>
      </c>
      <c r="L29" s="462">
        <f t="shared" si="20"/>
        <v>0</v>
      </c>
      <c r="M29" s="462">
        <f t="shared" si="20"/>
        <v>0</v>
      </c>
      <c r="N29" s="462">
        <f t="shared" si="20"/>
        <v>0</v>
      </c>
      <c r="O29" s="462">
        <f t="shared" si="20"/>
        <v>0</v>
      </c>
      <c r="P29" s="462">
        <f t="shared" si="20"/>
        <v>0</v>
      </c>
      <c r="Q29" s="472">
        <f t="shared" si="6"/>
        <v>0.11</v>
      </c>
      <c r="R29" s="472">
        <f t="shared" si="7"/>
        <v>0</v>
      </c>
      <c r="S29" s="472">
        <f t="shared" si="8"/>
        <v>0</v>
      </c>
      <c r="T29" s="472">
        <f t="shared" si="9"/>
        <v>0</v>
      </c>
      <c r="U29" s="472">
        <f t="shared" si="10"/>
        <v>0</v>
      </c>
      <c r="V29" s="472">
        <f t="shared" si="11"/>
        <v>0.11</v>
      </c>
    </row>
    <row r="30" spans="1:22" ht="19.5">
      <c r="A30" s="373"/>
      <c r="B30" s="490"/>
      <c r="C30" s="484"/>
      <c r="D30" s="18" t="s">
        <v>248</v>
      </c>
      <c r="E30" s="290">
        <v>0</v>
      </c>
      <c r="F30" s="290">
        <v>0</v>
      </c>
      <c r="G30" s="290">
        <v>0</v>
      </c>
      <c r="H30" s="287">
        <v>0</v>
      </c>
      <c r="I30" s="288">
        <f>SUM(F30:H30)*1.5</f>
        <v>0</v>
      </c>
      <c r="J30" s="293">
        <f>SUM(E30+I30)</f>
        <v>0</v>
      </c>
      <c r="K30" s="287">
        <v>0</v>
      </c>
      <c r="L30" s="287">
        <v>0</v>
      </c>
      <c r="M30" s="287">
        <v>0</v>
      </c>
      <c r="N30" s="287">
        <v>0</v>
      </c>
      <c r="O30" s="288">
        <f>SUM(L30:N30)*1.5</f>
        <v>0</v>
      </c>
      <c r="P30" s="287">
        <f>K30+O30</f>
        <v>0</v>
      </c>
      <c r="Q30" s="474">
        <f t="shared" si="6"/>
        <v>0</v>
      </c>
      <c r="R30" s="474">
        <f t="shared" si="7"/>
        <v>0</v>
      </c>
      <c r="S30" s="474">
        <f t="shared" si="8"/>
        <v>0</v>
      </c>
      <c r="T30" s="474">
        <f t="shared" si="9"/>
        <v>0</v>
      </c>
      <c r="U30" s="474">
        <f t="shared" si="10"/>
        <v>0</v>
      </c>
      <c r="V30" s="474">
        <f t="shared" si="11"/>
        <v>0</v>
      </c>
    </row>
    <row r="31" spans="1:22" ht="19.5">
      <c r="A31" s="373"/>
      <c r="B31" s="490"/>
      <c r="C31" s="484"/>
      <c r="D31" s="18" t="s">
        <v>249</v>
      </c>
      <c r="E31" s="287">
        <v>0</v>
      </c>
      <c r="F31" s="287">
        <v>0</v>
      </c>
      <c r="G31" s="294">
        <v>0</v>
      </c>
      <c r="H31" s="287">
        <v>0</v>
      </c>
      <c r="I31" s="288">
        <f>SUM(F31:H31)*1.5</f>
        <v>0</v>
      </c>
      <c r="J31" s="293">
        <f>SUM(E31+I31)</f>
        <v>0</v>
      </c>
      <c r="K31" s="287">
        <v>0</v>
      </c>
      <c r="L31" s="287">
        <v>0</v>
      </c>
      <c r="M31" s="287"/>
      <c r="N31" s="287">
        <v>0</v>
      </c>
      <c r="O31" s="288">
        <f>SUM(L31:N31)*1.5</f>
        <v>0</v>
      </c>
      <c r="P31" s="287">
        <f>K31+O31</f>
        <v>0</v>
      </c>
      <c r="Q31" s="474">
        <f t="shared" si="6"/>
        <v>0</v>
      </c>
      <c r="R31" s="474">
        <f t="shared" si="7"/>
        <v>0</v>
      </c>
      <c r="S31" s="474">
        <f t="shared" si="8"/>
        <v>0</v>
      </c>
      <c r="T31" s="474">
        <f t="shared" si="9"/>
        <v>0</v>
      </c>
      <c r="U31" s="474">
        <f t="shared" si="10"/>
        <v>0</v>
      </c>
      <c r="V31" s="474">
        <f t="shared" si="11"/>
        <v>0</v>
      </c>
    </row>
    <row r="32" spans="1:22" ht="19.5">
      <c r="A32" s="491"/>
      <c r="B32" s="492"/>
      <c r="C32" s="495"/>
      <c r="D32" s="493" t="s">
        <v>242</v>
      </c>
      <c r="E32" s="336">
        <f>0.11</f>
        <v>0.11</v>
      </c>
      <c r="F32" s="336">
        <v>0</v>
      </c>
      <c r="G32" s="332">
        <v>0</v>
      </c>
      <c r="H32" s="332">
        <v>0</v>
      </c>
      <c r="I32" s="333">
        <f>SUM(F32:H32)*1.5</f>
        <v>0</v>
      </c>
      <c r="J32" s="335">
        <f>SUM(E32+I32)</f>
        <v>0.11</v>
      </c>
      <c r="K32" s="332">
        <v>0</v>
      </c>
      <c r="L32" s="332">
        <v>0</v>
      </c>
      <c r="M32" s="332">
        <v>0</v>
      </c>
      <c r="N32" s="332">
        <v>0</v>
      </c>
      <c r="O32" s="333">
        <f>SUM(L32:N32)*1.5</f>
        <v>0</v>
      </c>
      <c r="P32" s="332">
        <f>K32+O32</f>
        <v>0</v>
      </c>
      <c r="Q32" s="475">
        <f t="shared" si="6"/>
        <v>0.11</v>
      </c>
      <c r="R32" s="475">
        <f t="shared" si="7"/>
        <v>0</v>
      </c>
      <c r="S32" s="475">
        <f t="shared" si="8"/>
        <v>0</v>
      </c>
      <c r="T32" s="475">
        <f t="shared" si="9"/>
        <v>0</v>
      </c>
      <c r="U32" s="475">
        <f t="shared" si="10"/>
        <v>0</v>
      </c>
      <c r="V32" s="475">
        <f t="shared" si="11"/>
        <v>0.11</v>
      </c>
    </row>
    <row r="33" spans="1:22" ht="19.5">
      <c r="A33" s="486"/>
      <c r="B33" s="494"/>
      <c r="C33" s="496"/>
      <c r="D33" s="22" t="s">
        <v>197</v>
      </c>
      <c r="E33" s="315">
        <v>0</v>
      </c>
      <c r="F33" s="315">
        <v>0</v>
      </c>
      <c r="G33" s="315">
        <v>0</v>
      </c>
      <c r="H33" s="315">
        <v>0</v>
      </c>
      <c r="I33" s="316">
        <f>SUM(F33:H33)*1.5</f>
        <v>0</v>
      </c>
      <c r="J33" s="322">
        <f>SUM(E33+I33)</f>
        <v>0</v>
      </c>
      <c r="K33" s="315">
        <v>0</v>
      </c>
      <c r="L33" s="315">
        <v>0</v>
      </c>
      <c r="M33" s="315">
        <v>0</v>
      </c>
      <c r="N33" s="315">
        <v>0</v>
      </c>
      <c r="O33" s="316">
        <f>SUM(L33:N33)*1.5</f>
        <v>0</v>
      </c>
      <c r="P33" s="315">
        <f>K33+O33</f>
        <v>0</v>
      </c>
      <c r="Q33" s="315">
        <f t="shared" si="6"/>
        <v>0</v>
      </c>
      <c r="R33" s="315">
        <f t="shared" si="7"/>
        <v>0</v>
      </c>
      <c r="S33" s="315">
        <f t="shared" si="8"/>
        <v>0</v>
      </c>
      <c r="T33" s="315">
        <f t="shared" si="9"/>
        <v>0</v>
      </c>
      <c r="U33" s="315">
        <f t="shared" si="10"/>
        <v>0</v>
      </c>
      <c r="V33" s="315">
        <f t="shared" si="11"/>
        <v>0</v>
      </c>
    </row>
    <row r="34" spans="1:22" ht="19.5">
      <c r="A34" s="465"/>
      <c r="B34" s="489"/>
      <c r="C34" s="481" t="s">
        <v>170</v>
      </c>
      <c r="D34" s="465"/>
      <c r="E34" s="462">
        <f>SUM(E35:E37)</f>
        <v>14.11</v>
      </c>
      <c r="F34" s="462">
        <f aca="true" t="shared" si="21" ref="F34:O34">SUM(F35:F37)</f>
        <v>0</v>
      </c>
      <c r="G34" s="462">
        <f t="shared" si="21"/>
        <v>0</v>
      </c>
      <c r="H34" s="462">
        <f t="shared" si="21"/>
        <v>0</v>
      </c>
      <c r="I34" s="462">
        <f t="shared" si="21"/>
        <v>0</v>
      </c>
      <c r="J34" s="462">
        <f t="shared" si="21"/>
        <v>14.11</v>
      </c>
      <c r="K34" s="462">
        <f t="shared" si="21"/>
        <v>0</v>
      </c>
      <c r="L34" s="462">
        <f t="shared" si="21"/>
        <v>0</v>
      </c>
      <c r="M34" s="462">
        <f t="shared" si="21"/>
        <v>99.75</v>
      </c>
      <c r="N34" s="462">
        <f t="shared" si="21"/>
        <v>3</v>
      </c>
      <c r="O34" s="462">
        <f t="shared" si="21"/>
        <v>154.125</v>
      </c>
      <c r="P34" s="462">
        <f>SUM(K34+O34)</f>
        <v>154.125</v>
      </c>
      <c r="Q34" s="472">
        <f t="shared" si="6"/>
        <v>14.11</v>
      </c>
      <c r="R34" s="472">
        <f t="shared" si="7"/>
        <v>0</v>
      </c>
      <c r="S34" s="472">
        <f t="shared" si="8"/>
        <v>99.75</v>
      </c>
      <c r="T34" s="472">
        <f t="shared" si="9"/>
        <v>3</v>
      </c>
      <c r="U34" s="472">
        <f t="shared" si="10"/>
        <v>154.125</v>
      </c>
      <c r="V34" s="472">
        <f t="shared" si="11"/>
        <v>168.235</v>
      </c>
    </row>
    <row r="35" spans="1:22" ht="19.5">
      <c r="A35" s="373"/>
      <c r="B35" s="490"/>
      <c r="C35" s="484"/>
      <c r="D35" s="18" t="s">
        <v>253</v>
      </c>
      <c r="E35" s="290">
        <v>14.11</v>
      </c>
      <c r="F35" s="290">
        <v>0</v>
      </c>
      <c r="G35" s="290">
        <v>0</v>
      </c>
      <c r="H35" s="287">
        <v>0</v>
      </c>
      <c r="I35" s="288">
        <f>SUM(F35:H35)*1.5</f>
        <v>0</v>
      </c>
      <c r="J35" s="293">
        <f>SUM(E35+I35)</f>
        <v>14.11</v>
      </c>
      <c r="K35" s="287">
        <v>0</v>
      </c>
      <c r="L35" s="287">
        <v>0</v>
      </c>
      <c r="M35" s="287">
        <v>99.75</v>
      </c>
      <c r="N35" s="287">
        <v>0</v>
      </c>
      <c r="O35" s="288">
        <f>SUM(L35:N35)*1.5</f>
        <v>149.625</v>
      </c>
      <c r="P35" s="287">
        <f>K35+O35</f>
        <v>149.625</v>
      </c>
      <c r="Q35" s="474">
        <f t="shared" si="6"/>
        <v>14.11</v>
      </c>
      <c r="R35" s="474">
        <f t="shared" si="7"/>
        <v>0</v>
      </c>
      <c r="S35" s="474">
        <f t="shared" si="8"/>
        <v>99.75</v>
      </c>
      <c r="T35" s="474">
        <f t="shared" si="9"/>
        <v>0</v>
      </c>
      <c r="U35" s="474">
        <f t="shared" si="10"/>
        <v>149.625</v>
      </c>
      <c r="V35" s="474">
        <f t="shared" si="11"/>
        <v>163.735</v>
      </c>
    </row>
    <row r="36" spans="1:22" ht="19.5">
      <c r="A36" s="373"/>
      <c r="B36" s="490"/>
      <c r="C36" s="484"/>
      <c r="D36" s="18" t="s">
        <v>295</v>
      </c>
      <c r="E36" s="290">
        <v>0</v>
      </c>
      <c r="F36" s="290">
        <v>0</v>
      </c>
      <c r="G36" s="290">
        <v>0</v>
      </c>
      <c r="H36" s="287">
        <v>0</v>
      </c>
      <c r="I36" s="288">
        <f>SUM(F36:H36)*1.5</f>
        <v>0</v>
      </c>
      <c r="J36" s="293">
        <f>SUM(E36+I36)</f>
        <v>0</v>
      </c>
      <c r="K36" s="287">
        <v>0</v>
      </c>
      <c r="L36" s="287">
        <v>0</v>
      </c>
      <c r="M36" s="287">
        <v>0</v>
      </c>
      <c r="N36" s="287">
        <v>3</v>
      </c>
      <c r="O36" s="288">
        <f>SUM(L36:N36)*1.5</f>
        <v>4.5</v>
      </c>
      <c r="P36" s="287">
        <f>K36+O36</f>
        <v>4.5</v>
      </c>
      <c r="Q36" s="474">
        <f t="shared" si="6"/>
        <v>0</v>
      </c>
      <c r="R36" s="474">
        <f t="shared" si="7"/>
        <v>0</v>
      </c>
      <c r="S36" s="474">
        <f t="shared" si="8"/>
        <v>0</v>
      </c>
      <c r="T36" s="474">
        <f t="shared" si="9"/>
        <v>3</v>
      </c>
      <c r="U36" s="474">
        <f t="shared" si="10"/>
        <v>4.5</v>
      </c>
      <c r="V36" s="474">
        <f t="shared" si="11"/>
        <v>4.5</v>
      </c>
    </row>
    <row r="37" spans="1:22" ht="19.5">
      <c r="A37" s="491"/>
      <c r="B37" s="492"/>
      <c r="C37" s="495"/>
      <c r="D37" s="493" t="s">
        <v>242</v>
      </c>
      <c r="E37" s="332">
        <v>0</v>
      </c>
      <c r="F37" s="332">
        <v>0</v>
      </c>
      <c r="G37" s="332">
        <v>0</v>
      </c>
      <c r="H37" s="332">
        <v>0</v>
      </c>
      <c r="I37" s="333">
        <f>SUM(F37:H37)*1.5</f>
        <v>0</v>
      </c>
      <c r="J37" s="335">
        <f>SUM(E37+I37)</f>
        <v>0</v>
      </c>
      <c r="K37" s="332">
        <v>0</v>
      </c>
      <c r="L37" s="332">
        <v>0</v>
      </c>
      <c r="M37" s="332">
        <v>0</v>
      </c>
      <c r="N37" s="332">
        <v>0</v>
      </c>
      <c r="O37" s="333">
        <f>SUM(L37:N37)*1.5</f>
        <v>0</v>
      </c>
      <c r="P37" s="332">
        <f>K37+O37</f>
        <v>0</v>
      </c>
      <c r="Q37" s="332">
        <f t="shared" si="6"/>
        <v>0</v>
      </c>
      <c r="R37" s="332">
        <f t="shared" si="7"/>
        <v>0</v>
      </c>
      <c r="S37" s="332">
        <f t="shared" si="8"/>
        <v>0</v>
      </c>
      <c r="T37" s="332">
        <f t="shared" si="9"/>
        <v>0</v>
      </c>
      <c r="U37" s="332">
        <f t="shared" si="10"/>
        <v>0</v>
      </c>
      <c r="V37" s="332">
        <f t="shared" si="11"/>
        <v>0</v>
      </c>
    </row>
    <row r="38" spans="1:22" ht="19.5">
      <c r="A38" s="491"/>
      <c r="B38" s="492"/>
      <c r="C38" s="495"/>
      <c r="D38" s="493" t="s">
        <v>313</v>
      </c>
      <c r="E38" s="332">
        <v>0</v>
      </c>
      <c r="F38" s="332">
        <v>0</v>
      </c>
      <c r="G38" s="332">
        <v>0</v>
      </c>
      <c r="H38" s="332">
        <v>0</v>
      </c>
      <c r="I38" s="333">
        <f>SUM(F38:H38)*1.5</f>
        <v>0</v>
      </c>
      <c r="J38" s="335">
        <f>SUM(E38+I38)</f>
        <v>0</v>
      </c>
      <c r="K38" s="332">
        <v>0</v>
      </c>
      <c r="L38" s="332">
        <v>0</v>
      </c>
      <c r="M38" s="332">
        <v>0</v>
      </c>
      <c r="N38" s="332">
        <v>0</v>
      </c>
      <c r="O38" s="333">
        <v>0</v>
      </c>
      <c r="P38" s="332">
        <v>0</v>
      </c>
      <c r="Q38" s="332">
        <f t="shared" si="6"/>
        <v>0</v>
      </c>
      <c r="R38" s="332">
        <f t="shared" si="7"/>
        <v>0</v>
      </c>
      <c r="S38" s="332">
        <f t="shared" si="8"/>
        <v>0</v>
      </c>
      <c r="T38" s="332">
        <f t="shared" si="9"/>
        <v>0</v>
      </c>
      <c r="U38" s="332">
        <f t="shared" si="10"/>
        <v>0</v>
      </c>
      <c r="V38" s="332">
        <f t="shared" si="11"/>
        <v>0</v>
      </c>
    </row>
    <row r="39" spans="1:22" ht="19.5">
      <c r="A39" s="486"/>
      <c r="B39" s="494"/>
      <c r="C39" s="496"/>
      <c r="D39" s="22" t="s">
        <v>197</v>
      </c>
      <c r="E39" s="315">
        <v>0</v>
      </c>
      <c r="F39" s="315">
        <v>0</v>
      </c>
      <c r="G39" s="315"/>
      <c r="H39" s="315">
        <v>0</v>
      </c>
      <c r="I39" s="316">
        <f>SUM(F39:H39)*1.5</f>
        <v>0</v>
      </c>
      <c r="J39" s="322">
        <f>SUM(E39+I39)</f>
        <v>0</v>
      </c>
      <c r="K39" s="315">
        <v>0</v>
      </c>
      <c r="L39" s="315">
        <v>0</v>
      </c>
      <c r="M39" s="315"/>
      <c r="N39" s="315">
        <v>0</v>
      </c>
      <c r="O39" s="316">
        <f>SUM(L39:N39)*1.5</f>
        <v>0</v>
      </c>
      <c r="P39" s="315">
        <f>K39+O39</f>
        <v>0</v>
      </c>
      <c r="Q39" s="315">
        <f t="shared" si="6"/>
        <v>0</v>
      </c>
      <c r="R39" s="315">
        <f t="shared" si="7"/>
        <v>0</v>
      </c>
      <c r="S39" s="315">
        <f t="shared" si="8"/>
        <v>0</v>
      </c>
      <c r="T39" s="315">
        <f t="shared" si="9"/>
        <v>0</v>
      </c>
      <c r="U39" s="315">
        <f t="shared" si="10"/>
        <v>0</v>
      </c>
      <c r="V39" s="315">
        <f t="shared" si="11"/>
        <v>0</v>
      </c>
    </row>
    <row r="40" spans="1:22" ht="19.5">
      <c r="A40" s="465"/>
      <c r="B40" s="489"/>
      <c r="C40" s="481" t="s">
        <v>171</v>
      </c>
      <c r="D40" s="465"/>
      <c r="E40" s="462">
        <f>SUM(E41+E43+E42+E44)</f>
        <v>12.55</v>
      </c>
      <c r="F40" s="462">
        <f aca="true" t="shared" si="22" ref="F40:P40">SUM(F41+F43+F42+F44)</f>
        <v>0</v>
      </c>
      <c r="G40" s="462">
        <f t="shared" si="22"/>
        <v>0</v>
      </c>
      <c r="H40" s="462">
        <f t="shared" si="22"/>
        <v>0</v>
      </c>
      <c r="I40" s="462">
        <f t="shared" si="22"/>
        <v>0</v>
      </c>
      <c r="J40" s="462">
        <f t="shared" si="22"/>
        <v>12.55</v>
      </c>
      <c r="K40" s="462">
        <f t="shared" si="22"/>
        <v>0</v>
      </c>
      <c r="L40" s="462">
        <f t="shared" si="22"/>
        <v>0</v>
      </c>
      <c r="M40" s="462">
        <f t="shared" si="22"/>
        <v>13.5</v>
      </c>
      <c r="N40" s="462">
        <f t="shared" si="22"/>
        <v>0</v>
      </c>
      <c r="O40" s="462">
        <f t="shared" si="22"/>
        <v>20.25</v>
      </c>
      <c r="P40" s="462">
        <f t="shared" si="22"/>
        <v>20.25</v>
      </c>
      <c r="Q40" s="472">
        <f t="shared" si="6"/>
        <v>12.55</v>
      </c>
      <c r="R40" s="472">
        <f t="shared" si="7"/>
        <v>0</v>
      </c>
      <c r="S40" s="472">
        <f t="shared" si="8"/>
        <v>13.5</v>
      </c>
      <c r="T40" s="472">
        <f t="shared" si="9"/>
        <v>0</v>
      </c>
      <c r="U40" s="472">
        <f t="shared" si="10"/>
        <v>20.25</v>
      </c>
      <c r="V40" s="472">
        <f t="shared" si="11"/>
        <v>32.8</v>
      </c>
    </row>
    <row r="41" spans="1:22" ht="19.5">
      <c r="A41" s="373"/>
      <c r="B41" s="490"/>
      <c r="C41" s="484"/>
      <c r="D41" s="18" t="s">
        <v>250</v>
      </c>
      <c r="E41" s="290">
        <v>0.22</v>
      </c>
      <c r="F41" s="290">
        <v>0</v>
      </c>
      <c r="G41" s="290"/>
      <c r="H41" s="287">
        <v>0</v>
      </c>
      <c r="I41" s="288">
        <f aca="true" t="shared" si="23" ref="I41:I46">SUM(F41:H41)*1.5</f>
        <v>0</v>
      </c>
      <c r="J41" s="293">
        <f aca="true" t="shared" si="24" ref="J41:J46">SUM(E41+I41)</f>
        <v>0.22</v>
      </c>
      <c r="K41" s="287">
        <v>0</v>
      </c>
      <c r="L41" s="287">
        <v>0</v>
      </c>
      <c r="M41" s="287">
        <v>8.75</v>
      </c>
      <c r="N41" s="287">
        <v>0</v>
      </c>
      <c r="O41" s="288">
        <f aca="true" t="shared" si="25" ref="O41:O46">SUM(L41:N41)*1.5</f>
        <v>13.125</v>
      </c>
      <c r="P41" s="287">
        <f aca="true" t="shared" si="26" ref="P41:P46">K41+O41</f>
        <v>13.125</v>
      </c>
      <c r="Q41" s="474">
        <f t="shared" si="6"/>
        <v>0.22</v>
      </c>
      <c r="R41" s="474">
        <f t="shared" si="7"/>
        <v>0</v>
      </c>
      <c r="S41" s="474">
        <f t="shared" si="8"/>
        <v>8.75</v>
      </c>
      <c r="T41" s="474">
        <f t="shared" si="9"/>
        <v>0</v>
      </c>
      <c r="U41" s="474">
        <f t="shared" si="10"/>
        <v>13.125</v>
      </c>
      <c r="V41" s="474">
        <f t="shared" si="11"/>
        <v>13.345</v>
      </c>
    </row>
    <row r="42" spans="1:22" ht="19.5">
      <c r="A42" s="373"/>
      <c r="B42" s="490"/>
      <c r="C42" s="484"/>
      <c r="D42" s="18" t="s">
        <v>251</v>
      </c>
      <c r="E42" s="290">
        <v>0</v>
      </c>
      <c r="F42" s="287">
        <v>0</v>
      </c>
      <c r="G42" s="287">
        <v>0</v>
      </c>
      <c r="H42" s="287">
        <v>0</v>
      </c>
      <c r="I42" s="288">
        <f t="shared" si="23"/>
        <v>0</v>
      </c>
      <c r="J42" s="293">
        <f t="shared" si="24"/>
        <v>0</v>
      </c>
      <c r="K42" s="287">
        <v>0</v>
      </c>
      <c r="L42" s="287">
        <v>0</v>
      </c>
      <c r="M42" s="287">
        <v>0</v>
      </c>
      <c r="N42" s="287">
        <v>0</v>
      </c>
      <c r="O42" s="288">
        <f t="shared" si="25"/>
        <v>0</v>
      </c>
      <c r="P42" s="287">
        <f t="shared" si="26"/>
        <v>0</v>
      </c>
      <c r="Q42" s="474">
        <f t="shared" si="6"/>
        <v>0</v>
      </c>
      <c r="R42" s="474">
        <f t="shared" si="7"/>
        <v>0</v>
      </c>
      <c r="S42" s="474">
        <f t="shared" si="8"/>
        <v>0</v>
      </c>
      <c r="T42" s="474">
        <f t="shared" si="9"/>
        <v>0</v>
      </c>
      <c r="U42" s="474">
        <f t="shared" si="10"/>
        <v>0</v>
      </c>
      <c r="V42" s="474">
        <f t="shared" si="11"/>
        <v>0</v>
      </c>
    </row>
    <row r="43" spans="1:22" ht="19.5">
      <c r="A43" s="373"/>
      <c r="B43" s="490"/>
      <c r="C43" s="484"/>
      <c r="D43" s="18" t="s">
        <v>296</v>
      </c>
      <c r="E43" s="290">
        <v>0</v>
      </c>
      <c r="F43" s="287">
        <v>0</v>
      </c>
      <c r="G43" s="287">
        <v>0</v>
      </c>
      <c r="H43" s="287">
        <v>0</v>
      </c>
      <c r="I43" s="288">
        <f t="shared" si="23"/>
        <v>0</v>
      </c>
      <c r="J43" s="293">
        <f t="shared" si="24"/>
        <v>0</v>
      </c>
      <c r="K43" s="287">
        <v>0</v>
      </c>
      <c r="L43" s="287">
        <v>0</v>
      </c>
      <c r="M43" s="287">
        <v>0</v>
      </c>
      <c r="N43" s="287">
        <v>0</v>
      </c>
      <c r="O43" s="288">
        <f t="shared" si="25"/>
        <v>0</v>
      </c>
      <c r="P43" s="287">
        <f t="shared" si="26"/>
        <v>0</v>
      </c>
      <c r="Q43" s="474">
        <f t="shared" si="6"/>
        <v>0</v>
      </c>
      <c r="R43" s="474">
        <f t="shared" si="7"/>
        <v>0</v>
      </c>
      <c r="S43" s="474">
        <f t="shared" si="8"/>
        <v>0</v>
      </c>
      <c r="T43" s="474">
        <f t="shared" si="9"/>
        <v>0</v>
      </c>
      <c r="U43" s="474">
        <f t="shared" si="10"/>
        <v>0</v>
      </c>
      <c r="V43" s="474">
        <f t="shared" si="11"/>
        <v>0</v>
      </c>
    </row>
    <row r="44" spans="1:22" ht="19.5">
      <c r="A44" s="491"/>
      <c r="B44" s="492"/>
      <c r="C44" s="495"/>
      <c r="D44" s="493" t="s">
        <v>252</v>
      </c>
      <c r="E44" s="332">
        <v>12.33</v>
      </c>
      <c r="F44" s="332"/>
      <c r="G44" s="332">
        <v>0</v>
      </c>
      <c r="H44" s="332">
        <v>0</v>
      </c>
      <c r="I44" s="333">
        <f t="shared" si="23"/>
        <v>0</v>
      </c>
      <c r="J44" s="335">
        <f t="shared" si="24"/>
        <v>12.33</v>
      </c>
      <c r="K44" s="332">
        <v>0</v>
      </c>
      <c r="L44" s="332">
        <v>0</v>
      </c>
      <c r="M44" s="332">
        <v>4.75</v>
      </c>
      <c r="N44" s="332">
        <v>0</v>
      </c>
      <c r="O44" s="333">
        <f t="shared" si="25"/>
        <v>7.125</v>
      </c>
      <c r="P44" s="332">
        <f t="shared" si="26"/>
        <v>7.125</v>
      </c>
      <c r="Q44" s="332">
        <f t="shared" si="6"/>
        <v>12.33</v>
      </c>
      <c r="R44" s="332">
        <f t="shared" si="7"/>
        <v>0</v>
      </c>
      <c r="S44" s="332">
        <f t="shared" si="8"/>
        <v>4.75</v>
      </c>
      <c r="T44" s="332">
        <f t="shared" si="9"/>
        <v>0</v>
      </c>
      <c r="U44" s="332">
        <f t="shared" si="10"/>
        <v>7.125</v>
      </c>
      <c r="V44" s="332">
        <f t="shared" si="11"/>
        <v>19.455</v>
      </c>
    </row>
    <row r="45" spans="1:22" ht="19.5">
      <c r="A45" s="486"/>
      <c r="B45" s="494"/>
      <c r="C45" s="496"/>
      <c r="D45" s="22" t="s">
        <v>197</v>
      </c>
      <c r="E45" s="315">
        <v>0</v>
      </c>
      <c r="F45" s="315">
        <v>0</v>
      </c>
      <c r="G45" s="315">
        <v>0</v>
      </c>
      <c r="H45" s="315">
        <v>0</v>
      </c>
      <c r="I45" s="316">
        <f t="shared" si="23"/>
        <v>0</v>
      </c>
      <c r="J45" s="322">
        <f t="shared" si="24"/>
        <v>0</v>
      </c>
      <c r="K45" s="315">
        <v>0</v>
      </c>
      <c r="L45" s="315">
        <v>0</v>
      </c>
      <c r="M45" s="315"/>
      <c r="N45" s="315">
        <v>0</v>
      </c>
      <c r="O45" s="316">
        <f t="shared" si="25"/>
        <v>0</v>
      </c>
      <c r="P45" s="315">
        <f t="shared" si="26"/>
        <v>0</v>
      </c>
      <c r="Q45" s="315">
        <f t="shared" si="6"/>
        <v>0</v>
      </c>
      <c r="R45" s="315">
        <f t="shared" si="7"/>
        <v>0</v>
      </c>
      <c r="S45" s="315">
        <f t="shared" si="8"/>
        <v>0</v>
      </c>
      <c r="T45" s="315">
        <f t="shared" si="9"/>
        <v>0</v>
      </c>
      <c r="U45" s="315">
        <f t="shared" si="10"/>
        <v>0</v>
      </c>
      <c r="V45" s="315">
        <f t="shared" si="11"/>
        <v>0</v>
      </c>
    </row>
    <row r="46" spans="1:22" ht="19.5">
      <c r="A46" s="465"/>
      <c r="B46" s="489"/>
      <c r="C46" s="481" t="s">
        <v>172</v>
      </c>
      <c r="D46" s="465"/>
      <c r="E46" s="462">
        <v>0</v>
      </c>
      <c r="F46" s="462">
        <v>0</v>
      </c>
      <c r="G46" s="462">
        <v>0</v>
      </c>
      <c r="H46" s="462">
        <v>0</v>
      </c>
      <c r="I46" s="463">
        <f t="shared" si="23"/>
        <v>0</v>
      </c>
      <c r="J46" s="464">
        <f t="shared" si="24"/>
        <v>0</v>
      </c>
      <c r="K46" s="462">
        <v>0</v>
      </c>
      <c r="L46" s="462">
        <v>0</v>
      </c>
      <c r="M46" s="462">
        <v>0</v>
      </c>
      <c r="N46" s="462">
        <v>0</v>
      </c>
      <c r="O46" s="463">
        <f t="shared" si="25"/>
        <v>0</v>
      </c>
      <c r="P46" s="462">
        <f t="shared" si="26"/>
        <v>0</v>
      </c>
      <c r="Q46" s="472">
        <f t="shared" si="6"/>
        <v>0</v>
      </c>
      <c r="R46" s="472">
        <f t="shared" si="7"/>
        <v>0</v>
      </c>
      <c r="S46" s="472">
        <f t="shared" si="8"/>
        <v>0</v>
      </c>
      <c r="T46" s="472">
        <f t="shared" si="9"/>
        <v>0</v>
      </c>
      <c r="U46" s="472">
        <f t="shared" si="10"/>
        <v>0</v>
      </c>
      <c r="V46" s="472">
        <f t="shared" si="11"/>
        <v>0</v>
      </c>
    </row>
    <row r="47" spans="1:22" ht="19.5">
      <c r="A47" s="497"/>
      <c r="B47" s="498"/>
      <c r="C47" s="499" t="s">
        <v>175</v>
      </c>
      <c r="D47" s="465"/>
      <c r="E47" s="462">
        <f aca="true" t="shared" si="27" ref="E47:K47">SUM(E48:E49)</f>
        <v>4.33</v>
      </c>
      <c r="F47" s="462">
        <f t="shared" si="27"/>
        <v>0</v>
      </c>
      <c r="G47" s="462">
        <f t="shared" si="27"/>
        <v>0</v>
      </c>
      <c r="H47" s="462">
        <f t="shared" si="27"/>
        <v>0</v>
      </c>
      <c r="I47" s="462">
        <f t="shared" si="27"/>
        <v>0</v>
      </c>
      <c r="J47" s="462">
        <f t="shared" si="27"/>
        <v>4.33</v>
      </c>
      <c r="K47" s="462">
        <f t="shared" si="27"/>
        <v>0</v>
      </c>
      <c r="L47" s="462">
        <f>SUM(L48:L49)</f>
        <v>0</v>
      </c>
      <c r="M47" s="462">
        <f>SUM(M48:M49)</f>
        <v>0</v>
      </c>
      <c r="N47" s="462">
        <f>SUM(N48:N49)</f>
        <v>0</v>
      </c>
      <c r="O47" s="462">
        <f>SUM(O48:O49)</f>
        <v>0</v>
      </c>
      <c r="P47" s="462">
        <f>SUM(P48:P49)</f>
        <v>0</v>
      </c>
      <c r="Q47" s="472">
        <f t="shared" si="6"/>
        <v>4.33</v>
      </c>
      <c r="R47" s="472">
        <f t="shared" si="7"/>
        <v>0</v>
      </c>
      <c r="S47" s="472">
        <f t="shared" si="8"/>
        <v>0</v>
      </c>
      <c r="T47" s="472">
        <f t="shared" si="9"/>
        <v>0</v>
      </c>
      <c r="U47" s="472">
        <f t="shared" si="10"/>
        <v>0</v>
      </c>
      <c r="V47" s="472">
        <f t="shared" si="11"/>
        <v>4.33</v>
      </c>
    </row>
    <row r="48" spans="1:22" ht="19.5">
      <c r="A48" s="485"/>
      <c r="B48" s="500"/>
      <c r="C48" s="500"/>
      <c r="D48" s="18" t="s">
        <v>254</v>
      </c>
      <c r="E48" s="290">
        <v>4.33</v>
      </c>
      <c r="F48" s="287">
        <v>0</v>
      </c>
      <c r="G48" s="287">
        <v>0</v>
      </c>
      <c r="H48" s="287">
        <v>0</v>
      </c>
      <c r="I48" s="288">
        <f>SUM(F48:H48)*1.5</f>
        <v>0</v>
      </c>
      <c r="J48" s="293">
        <f>SUM(E48+I48)</f>
        <v>4.33</v>
      </c>
      <c r="K48" s="287">
        <v>0</v>
      </c>
      <c r="L48" s="287">
        <v>0</v>
      </c>
      <c r="M48" s="287">
        <v>0</v>
      </c>
      <c r="N48" s="287">
        <v>0</v>
      </c>
      <c r="O48" s="288">
        <f aca="true" t="shared" si="28" ref="O48:O56">SUM(L48:N48)*1.5</f>
        <v>0</v>
      </c>
      <c r="P48" s="293">
        <f>K48+O48</f>
        <v>0</v>
      </c>
      <c r="Q48" s="474">
        <f t="shared" si="6"/>
        <v>4.33</v>
      </c>
      <c r="R48" s="474">
        <f t="shared" si="7"/>
        <v>0</v>
      </c>
      <c r="S48" s="474">
        <f t="shared" si="8"/>
        <v>0</v>
      </c>
      <c r="T48" s="474">
        <f t="shared" si="9"/>
        <v>0</v>
      </c>
      <c r="U48" s="474">
        <f t="shared" si="10"/>
        <v>0</v>
      </c>
      <c r="V48" s="474">
        <f t="shared" si="11"/>
        <v>4.33</v>
      </c>
    </row>
    <row r="49" spans="1:22" ht="19.5">
      <c r="A49" s="493"/>
      <c r="B49" s="501"/>
      <c r="C49" s="501"/>
      <c r="D49" s="493" t="s">
        <v>242</v>
      </c>
      <c r="E49" s="332">
        <v>0</v>
      </c>
      <c r="F49" s="332">
        <v>0</v>
      </c>
      <c r="G49" s="332">
        <v>0</v>
      </c>
      <c r="H49" s="332">
        <v>0</v>
      </c>
      <c r="I49" s="333">
        <f>SUM(F49:H49)*1.5</f>
        <v>0</v>
      </c>
      <c r="J49" s="335">
        <f>SUM(E49+I49)</f>
        <v>0</v>
      </c>
      <c r="K49" s="332">
        <v>0</v>
      </c>
      <c r="L49" s="332">
        <v>0</v>
      </c>
      <c r="M49" s="332">
        <v>0</v>
      </c>
      <c r="N49" s="332">
        <v>0</v>
      </c>
      <c r="O49" s="333">
        <f t="shared" si="28"/>
        <v>0</v>
      </c>
      <c r="P49" s="335">
        <f aca="true" t="shared" si="29" ref="P49:P56">K49+O49</f>
        <v>0</v>
      </c>
      <c r="Q49" s="335">
        <f t="shared" si="6"/>
        <v>0</v>
      </c>
      <c r="R49" s="335">
        <f t="shared" si="7"/>
        <v>0</v>
      </c>
      <c r="S49" s="335">
        <f t="shared" si="8"/>
        <v>0</v>
      </c>
      <c r="T49" s="335">
        <f t="shared" si="9"/>
        <v>0</v>
      </c>
      <c r="U49" s="335">
        <f t="shared" si="10"/>
        <v>0</v>
      </c>
      <c r="V49" s="335">
        <f t="shared" si="11"/>
        <v>0</v>
      </c>
    </row>
    <row r="50" spans="1:22" ht="19.5">
      <c r="A50" s="22"/>
      <c r="B50" s="502"/>
      <c r="C50" s="502"/>
      <c r="D50" s="496" t="s">
        <v>197</v>
      </c>
      <c r="E50" s="315">
        <v>0</v>
      </c>
      <c r="F50" s="315">
        <v>0</v>
      </c>
      <c r="G50" s="315">
        <v>0</v>
      </c>
      <c r="H50" s="315">
        <v>0</v>
      </c>
      <c r="I50" s="316">
        <f>SUM(F50:H50)*1.5</f>
        <v>0</v>
      </c>
      <c r="J50" s="322">
        <f>SUM(E50+I50)</f>
        <v>0</v>
      </c>
      <c r="K50" s="315">
        <v>0</v>
      </c>
      <c r="L50" s="315">
        <v>0</v>
      </c>
      <c r="M50" s="315"/>
      <c r="N50" s="315">
        <v>0</v>
      </c>
      <c r="O50" s="316">
        <f t="shared" si="28"/>
        <v>0</v>
      </c>
      <c r="P50" s="322">
        <f t="shared" si="29"/>
        <v>0</v>
      </c>
      <c r="Q50" s="322">
        <f t="shared" si="6"/>
        <v>0</v>
      </c>
      <c r="R50" s="322">
        <f t="shared" si="7"/>
        <v>0</v>
      </c>
      <c r="S50" s="322">
        <f t="shared" si="8"/>
        <v>0</v>
      </c>
      <c r="T50" s="322">
        <f t="shared" si="9"/>
        <v>0</v>
      </c>
      <c r="U50" s="322">
        <f t="shared" si="10"/>
        <v>0</v>
      </c>
      <c r="V50" s="322">
        <f t="shared" si="11"/>
        <v>0</v>
      </c>
    </row>
    <row r="51" spans="1:22" ht="19.5">
      <c r="A51" s="503"/>
      <c r="B51" s="504" t="s">
        <v>174</v>
      </c>
      <c r="C51" s="505"/>
      <c r="D51" s="373"/>
      <c r="E51" s="358">
        <f aca="true" t="shared" si="30" ref="E51:P51">SUM(E52:E56)</f>
        <v>0</v>
      </c>
      <c r="F51" s="358">
        <f t="shared" si="30"/>
        <v>0</v>
      </c>
      <c r="G51" s="358">
        <f t="shared" si="30"/>
        <v>0</v>
      </c>
      <c r="H51" s="358">
        <f t="shared" si="30"/>
        <v>0</v>
      </c>
      <c r="I51" s="358">
        <f t="shared" si="30"/>
        <v>0</v>
      </c>
      <c r="J51" s="358">
        <f t="shared" si="30"/>
        <v>0</v>
      </c>
      <c r="K51" s="358">
        <f t="shared" si="30"/>
        <v>0</v>
      </c>
      <c r="L51" s="358">
        <f t="shared" si="30"/>
        <v>0</v>
      </c>
      <c r="M51" s="358">
        <f t="shared" si="30"/>
        <v>0</v>
      </c>
      <c r="N51" s="358">
        <f t="shared" si="30"/>
        <v>0</v>
      </c>
      <c r="O51" s="358">
        <f t="shared" si="30"/>
        <v>0</v>
      </c>
      <c r="P51" s="358">
        <f t="shared" si="30"/>
        <v>0</v>
      </c>
      <c r="Q51" s="474">
        <f t="shared" si="6"/>
        <v>0</v>
      </c>
      <c r="R51" s="474">
        <f t="shared" si="7"/>
        <v>0</v>
      </c>
      <c r="S51" s="474">
        <f t="shared" si="8"/>
        <v>0</v>
      </c>
      <c r="T51" s="474">
        <f t="shared" si="9"/>
        <v>0</v>
      </c>
      <c r="U51" s="474">
        <f t="shared" si="10"/>
        <v>0</v>
      </c>
      <c r="V51" s="474">
        <f t="shared" si="11"/>
        <v>0</v>
      </c>
    </row>
    <row r="52" spans="1:22" ht="19.5">
      <c r="A52" s="485"/>
      <c r="B52" s="500"/>
      <c r="C52" s="485" t="s">
        <v>176</v>
      </c>
      <c r="D52" s="373"/>
      <c r="E52" s="287">
        <v>0</v>
      </c>
      <c r="F52" s="287">
        <v>0</v>
      </c>
      <c r="G52" s="287">
        <v>0</v>
      </c>
      <c r="H52" s="287">
        <v>0</v>
      </c>
      <c r="I52" s="288">
        <f>SUM(F52:H52)*1.5</f>
        <v>0</v>
      </c>
      <c r="J52" s="293">
        <f>SUM(E52+I52)</f>
        <v>0</v>
      </c>
      <c r="K52" s="287">
        <v>0</v>
      </c>
      <c r="L52" s="287">
        <v>0</v>
      </c>
      <c r="M52" s="287">
        <v>0</v>
      </c>
      <c r="N52" s="287">
        <v>0</v>
      </c>
      <c r="O52" s="288">
        <f t="shared" si="28"/>
        <v>0</v>
      </c>
      <c r="P52" s="293">
        <f t="shared" si="29"/>
        <v>0</v>
      </c>
      <c r="Q52" s="474">
        <f t="shared" si="6"/>
        <v>0</v>
      </c>
      <c r="R52" s="474">
        <f t="shared" si="7"/>
        <v>0</v>
      </c>
      <c r="S52" s="474">
        <f t="shared" si="8"/>
        <v>0</v>
      </c>
      <c r="T52" s="474">
        <f t="shared" si="9"/>
        <v>0</v>
      </c>
      <c r="U52" s="474">
        <f t="shared" si="10"/>
        <v>0</v>
      </c>
      <c r="V52" s="474">
        <f t="shared" si="11"/>
        <v>0</v>
      </c>
    </row>
    <row r="53" spans="1:22" ht="19.5">
      <c r="A53" s="485"/>
      <c r="B53" s="500"/>
      <c r="C53" s="485" t="s">
        <v>177</v>
      </c>
      <c r="D53" s="373"/>
      <c r="E53" s="287">
        <v>0</v>
      </c>
      <c r="F53" s="287">
        <v>0</v>
      </c>
      <c r="G53" s="287">
        <v>0</v>
      </c>
      <c r="H53" s="287">
        <v>0</v>
      </c>
      <c r="I53" s="288">
        <f>SUM(F53:H53)*1.5</f>
        <v>0</v>
      </c>
      <c r="J53" s="293">
        <f>SUM(E53+I53)</f>
        <v>0</v>
      </c>
      <c r="K53" s="287">
        <v>0</v>
      </c>
      <c r="L53" s="287">
        <v>0</v>
      </c>
      <c r="M53" s="287">
        <v>0</v>
      </c>
      <c r="N53" s="287">
        <v>0</v>
      </c>
      <c r="O53" s="288">
        <f t="shared" si="28"/>
        <v>0</v>
      </c>
      <c r="P53" s="293">
        <f t="shared" si="29"/>
        <v>0</v>
      </c>
      <c r="Q53" s="474">
        <f t="shared" si="6"/>
        <v>0</v>
      </c>
      <c r="R53" s="474">
        <f t="shared" si="7"/>
        <v>0</v>
      </c>
      <c r="S53" s="474">
        <f t="shared" si="8"/>
        <v>0</v>
      </c>
      <c r="T53" s="474">
        <f t="shared" si="9"/>
        <v>0</v>
      </c>
      <c r="U53" s="474">
        <f t="shared" si="10"/>
        <v>0</v>
      </c>
      <c r="V53" s="474">
        <f t="shared" si="11"/>
        <v>0</v>
      </c>
    </row>
    <row r="54" spans="1:22" ht="19.5">
      <c r="A54" s="485"/>
      <c r="B54" s="500"/>
      <c r="C54" s="485" t="s">
        <v>260</v>
      </c>
      <c r="D54" s="373"/>
      <c r="E54" s="288">
        <v>0</v>
      </c>
      <c r="F54" s="288">
        <v>0</v>
      </c>
      <c r="G54" s="288">
        <v>0</v>
      </c>
      <c r="H54" s="288">
        <v>0</v>
      </c>
      <c r="I54" s="288">
        <f>SUM(F54:H54)*1.5</f>
        <v>0</v>
      </c>
      <c r="J54" s="293">
        <f>SUM(E54+I54)</f>
        <v>0</v>
      </c>
      <c r="K54" s="288">
        <v>0</v>
      </c>
      <c r="L54" s="288">
        <v>0</v>
      </c>
      <c r="M54" s="288">
        <v>0</v>
      </c>
      <c r="N54" s="288">
        <v>0</v>
      </c>
      <c r="O54" s="288">
        <f t="shared" si="28"/>
        <v>0</v>
      </c>
      <c r="P54" s="293">
        <f t="shared" si="29"/>
        <v>0</v>
      </c>
      <c r="Q54" s="474">
        <f t="shared" si="6"/>
        <v>0</v>
      </c>
      <c r="R54" s="474">
        <f t="shared" si="7"/>
        <v>0</v>
      </c>
      <c r="S54" s="474">
        <f t="shared" si="8"/>
        <v>0</v>
      </c>
      <c r="T54" s="474">
        <f t="shared" si="9"/>
        <v>0</v>
      </c>
      <c r="U54" s="474">
        <f t="shared" si="10"/>
        <v>0</v>
      </c>
      <c r="V54" s="474">
        <f t="shared" si="11"/>
        <v>0</v>
      </c>
    </row>
    <row r="55" spans="1:22" ht="19.5">
      <c r="A55" s="485"/>
      <c r="B55" s="500"/>
      <c r="C55" s="485" t="s">
        <v>179</v>
      </c>
      <c r="D55" s="373"/>
      <c r="E55" s="288">
        <v>0</v>
      </c>
      <c r="F55" s="288">
        <v>0</v>
      </c>
      <c r="G55" s="288">
        <v>0</v>
      </c>
      <c r="H55" s="288">
        <v>0</v>
      </c>
      <c r="I55" s="288">
        <f>SUM(F55:H55)*1.5</f>
        <v>0</v>
      </c>
      <c r="J55" s="293">
        <f>SUM(E55+I55)</f>
        <v>0</v>
      </c>
      <c r="K55" s="288">
        <v>0</v>
      </c>
      <c r="L55" s="288">
        <v>0</v>
      </c>
      <c r="M55" s="288">
        <v>0</v>
      </c>
      <c r="N55" s="288">
        <v>0</v>
      </c>
      <c r="O55" s="288">
        <f t="shared" si="28"/>
        <v>0</v>
      </c>
      <c r="P55" s="293">
        <f t="shared" si="29"/>
        <v>0</v>
      </c>
      <c r="Q55" s="474">
        <f t="shared" si="6"/>
        <v>0</v>
      </c>
      <c r="R55" s="474">
        <f t="shared" si="7"/>
        <v>0</v>
      </c>
      <c r="S55" s="474">
        <f t="shared" si="8"/>
        <v>0</v>
      </c>
      <c r="T55" s="474">
        <f t="shared" si="9"/>
        <v>0</v>
      </c>
      <c r="U55" s="474">
        <f t="shared" si="10"/>
        <v>0</v>
      </c>
      <c r="V55" s="474">
        <f t="shared" si="11"/>
        <v>0</v>
      </c>
    </row>
    <row r="56" spans="1:22" ht="19.5">
      <c r="A56" s="485"/>
      <c r="B56" s="500"/>
      <c r="C56" s="485" t="s">
        <v>180</v>
      </c>
      <c r="D56" s="373"/>
      <c r="E56" s="287">
        <v>0</v>
      </c>
      <c r="F56" s="287">
        <v>0</v>
      </c>
      <c r="G56" s="287">
        <v>0</v>
      </c>
      <c r="H56" s="287">
        <v>0</v>
      </c>
      <c r="I56" s="288">
        <f>SUM(F56:H56)*1.5</f>
        <v>0</v>
      </c>
      <c r="J56" s="293">
        <f>SUM(E56+I56)</f>
        <v>0</v>
      </c>
      <c r="K56" s="287">
        <v>0</v>
      </c>
      <c r="L56" s="287">
        <v>0</v>
      </c>
      <c r="M56" s="287">
        <v>0</v>
      </c>
      <c r="N56" s="287">
        <v>0</v>
      </c>
      <c r="O56" s="288">
        <f t="shared" si="28"/>
        <v>0</v>
      </c>
      <c r="P56" s="293">
        <f t="shared" si="29"/>
        <v>0</v>
      </c>
      <c r="Q56" s="474">
        <f t="shared" si="6"/>
        <v>0</v>
      </c>
      <c r="R56" s="474">
        <f t="shared" si="7"/>
        <v>0</v>
      </c>
      <c r="S56" s="474">
        <f t="shared" si="8"/>
        <v>0</v>
      </c>
      <c r="T56" s="474">
        <f t="shared" si="9"/>
        <v>0</v>
      </c>
      <c r="U56" s="474">
        <f t="shared" si="10"/>
        <v>0</v>
      </c>
      <c r="V56" s="474">
        <f t="shared" si="11"/>
        <v>0</v>
      </c>
    </row>
    <row r="57" spans="1:22" ht="19.5">
      <c r="A57" s="485"/>
      <c r="B57" s="504" t="s">
        <v>181</v>
      </c>
      <c r="C57" s="485"/>
      <c r="D57" s="485"/>
      <c r="E57" s="287">
        <f aca="true" t="shared" si="31" ref="E57:P57">SUM(E58:E61)</f>
        <v>0</v>
      </c>
      <c r="F57" s="287">
        <f t="shared" si="31"/>
        <v>0</v>
      </c>
      <c r="G57" s="287">
        <f t="shared" si="31"/>
        <v>0</v>
      </c>
      <c r="H57" s="287">
        <f t="shared" si="31"/>
        <v>0</v>
      </c>
      <c r="I57" s="287">
        <f t="shared" si="31"/>
        <v>0</v>
      </c>
      <c r="J57" s="287">
        <f t="shared" si="31"/>
        <v>0</v>
      </c>
      <c r="K57" s="287">
        <f t="shared" si="31"/>
        <v>0</v>
      </c>
      <c r="L57" s="287">
        <f t="shared" si="31"/>
        <v>0</v>
      </c>
      <c r="M57" s="287">
        <f t="shared" si="31"/>
        <v>0</v>
      </c>
      <c r="N57" s="287">
        <f t="shared" si="31"/>
        <v>0</v>
      </c>
      <c r="O57" s="287">
        <f t="shared" si="31"/>
        <v>0</v>
      </c>
      <c r="P57" s="287">
        <f t="shared" si="31"/>
        <v>0</v>
      </c>
      <c r="Q57" s="474">
        <f t="shared" si="6"/>
        <v>0</v>
      </c>
      <c r="R57" s="474">
        <f t="shared" si="7"/>
        <v>0</v>
      </c>
      <c r="S57" s="474">
        <f t="shared" si="8"/>
        <v>0</v>
      </c>
      <c r="T57" s="474">
        <f t="shared" si="9"/>
        <v>0</v>
      </c>
      <c r="U57" s="474">
        <f t="shared" si="10"/>
        <v>0</v>
      </c>
      <c r="V57" s="474">
        <f t="shared" si="11"/>
        <v>0</v>
      </c>
    </row>
    <row r="58" spans="1:22" ht="19.5">
      <c r="A58" s="485"/>
      <c r="B58" s="500"/>
      <c r="C58" s="485" t="s">
        <v>297</v>
      </c>
      <c r="D58" s="485"/>
      <c r="E58" s="287">
        <v>0</v>
      </c>
      <c r="F58" s="287"/>
      <c r="G58" s="287">
        <v>0</v>
      </c>
      <c r="H58" s="287">
        <v>0</v>
      </c>
      <c r="I58" s="288">
        <f>SUM(F58:H58)*1.5</f>
        <v>0</v>
      </c>
      <c r="J58" s="293">
        <f>SUM(E58+I58)</f>
        <v>0</v>
      </c>
      <c r="K58" s="287">
        <v>0</v>
      </c>
      <c r="L58" s="287">
        <v>0</v>
      </c>
      <c r="M58" s="287">
        <v>0</v>
      </c>
      <c r="N58" s="287">
        <v>0</v>
      </c>
      <c r="O58" s="288">
        <f>SUM(L58:N58)*1.5</f>
        <v>0</v>
      </c>
      <c r="P58" s="293">
        <f>K58+O58</f>
        <v>0</v>
      </c>
      <c r="Q58" s="474">
        <f t="shared" si="6"/>
        <v>0</v>
      </c>
      <c r="R58" s="474">
        <f t="shared" si="7"/>
        <v>0</v>
      </c>
      <c r="S58" s="474">
        <f t="shared" si="8"/>
        <v>0</v>
      </c>
      <c r="T58" s="474">
        <f t="shared" si="9"/>
        <v>0</v>
      </c>
      <c r="U58" s="474">
        <f t="shared" si="10"/>
        <v>0</v>
      </c>
      <c r="V58" s="474">
        <f t="shared" si="11"/>
        <v>0</v>
      </c>
    </row>
    <row r="59" spans="1:22" ht="19.5">
      <c r="A59" s="485"/>
      <c r="B59" s="500"/>
      <c r="C59" s="485" t="s">
        <v>298</v>
      </c>
      <c r="D59" s="485"/>
      <c r="E59" s="288">
        <v>0</v>
      </c>
      <c r="F59" s="288">
        <v>0</v>
      </c>
      <c r="G59" s="288">
        <v>0</v>
      </c>
      <c r="H59" s="288">
        <v>0</v>
      </c>
      <c r="I59" s="288">
        <f>SUM(F59:H59)*1.5</f>
        <v>0</v>
      </c>
      <c r="J59" s="293">
        <f>SUM(E59+I59)</f>
        <v>0</v>
      </c>
      <c r="K59" s="288">
        <v>0</v>
      </c>
      <c r="L59" s="288">
        <v>0</v>
      </c>
      <c r="M59" s="288">
        <v>0</v>
      </c>
      <c r="N59" s="288">
        <v>0</v>
      </c>
      <c r="O59" s="288">
        <f>SUM(L59:N59)*1.5</f>
        <v>0</v>
      </c>
      <c r="P59" s="293">
        <f>K59+O59</f>
        <v>0</v>
      </c>
      <c r="Q59" s="474">
        <f t="shared" si="6"/>
        <v>0</v>
      </c>
      <c r="R59" s="474">
        <f t="shared" si="7"/>
        <v>0</v>
      </c>
      <c r="S59" s="474">
        <f t="shared" si="8"/>
        <v>0</v>
      </c>
      <c r="T59" s="474">
        <f t="shared" si="9"/>
        <v>0</v>
      </c>
      <c r="U59" s="474">
        <f t="shared" si="10"/>
        <v>0</v>
      </c>
      <c r="V59" s="474">
        <f t="shared" si="11"/>
        <v>0</v>
      </c>
    </row>
    <row r="60" spans="1:22" ht="19.5">
      <c r="A60" s="485"/>
      <c r="B60" s="500"/>
      <c r="C60" s="485" t="s">
        <v>183</v>
      </c>
      <c r="D60" s="485"/>
      <c r="E60" s="287">
        <v>0</v>
      </c>
      <c r="F60" s="287">
        <v>0</v>
      </c>
      <c r="G60" s="287">
        <v>0</v>
      </c>
      <c r="H60" s="287">
        <v>0</v>
      </c>
      <c r="I60" s="288">
        <f>SUM(F60:H60)*1.5</f>
        <v>0</v>
      </c>
      <c r="J60" s="293">
        <f>SUM(E60+I60)</f>
        <v>0</v>
      </c>
      <c r="K60" s="287">
        <v>0</v>
      </c>
      <c r="L60" s="287">
        <v>0</v>
      </c>
      <c r="M60" s="287">
        <v>0</v>
      </c>
      <c r="N60" s="287">
        <v>0</v>
      </c>
      <c r="O60" s="288">
        <f>SUM(L60:N60)*1.5</f>
        <v>0</v>
      </c>
      <c r="P60" s="293">
        <f>K60+O60</f>
        <v>0</v>
      </c>
      <c r="Q60" s="474">
        <f t="shared" si="6"/>
        <v>0</v>
      </c>
      <c r="R60" s="474">
        <f t="shared" si="7"/>
        <v>0</v>
      </c>
      <c r="S60" s="474">
        <f t="shared" si="8"/>
        <v>0</v>
      </c>
      <c r="T60" s="474">
        <f t="shared" si="9"/>
        <v>0</v>
      </c>
      <c r="U60" s="474">
        <f t="shared" si="10"/>
        <v>0</v>
      </c>
      <c r="V60" s="474">
        <f t="shared" si="11"/>
        <v>0</v>
      </c>
    </row>
    <row r="61" spans="1:22" ht="19.5">
      <c r="A61" s="485"/>
      <c r="B61" s="500"/>
      <c r="C61" s="485" t="s">
        <v>184</v>
      </c>
      <c r="D61" s="485"/>
      <c r="E61" s="295">
        <v>0</v>
      </c>
      <c r="F61" s="295">
        <v>0</v>
      </c>
      <c r="G61" s="295">
        <v>0</v>
      </c>
      <c r="H61" s="295">
        <v>0</v>
      </c>
      <c r="I61" s="288">
        <f>SUM(F61:H61)*1.5</f>
        <v>0</v>
      </c>
      <c r="J61" s="293">
        <f>SUM(E61+I61)</f>
        <v>0</v>
      </c>
      <c r="K61" s="295">
        <v>0</v>
      </c>
      <c r="L61" s="295">
        <v>0</v>
      </c>
      <c r="M61" s="295">
        <v>0</v>
      </c>
      <c r="N61" s="295">
        <v>0</v>
      </c>
      <c r="O61" s="288">
        <f>SUM(L61:N61)*1.5</f>
        <v>0</v>
      </c>
      <c r="P61" s="293">
        <f>K61+O61</f>
        <v>0</v>
      </c>
      <c r="Q61" s="474">
        <f t="shared" si="6"/>
        <v>0</v>
      </c>
      <c r="R61" s="474">
        <f t="shared" si="7"/>
        <v>0</v>
      </c>
      <c r="S61" s="474">
        <f t="shared" si="8"/>
        <v>0</v>
      </c>
      <c r="T61" s="474">
        <f t="shared" si="9"/>
        <v>0</v>
      </c>
      <c r="U61" s="474">
        <f t="shared" si="10"/>
        <v>0</v>
      </c>
      <c r="V61" s="474">
        <f t="shared" si="11"/>
        <v>0</v>
      </c>
    </row>
    <row r="62" spans="1:22" ht="19.5">
      <c r="A62" s="483" t="s">
        <v>268</v>
      </c>
      <c r="B62" s="483"/>
      <c r="C62" s="483"/>
      <c r="D62" s="483"/>
      <c r="E62" s="476">
        <f>SUM(E63)</f>
        <v>132.23</v>
      </c>
      <c r="F62" s="476">
        <f aca="true" t="shared" si="32" ref="F62:P62">SUM(F63)</f>
        <v>0</v>
      </c>
      <c r="G62" s="476">
        <f t="shared" si="32"/>
        <v>0</v>
      </c>
      <c r="H62" s="476">
        <f t="shared" si="32"/>
        <v>0</v>
      </c>
      <c r="I62" s="476">
        <f t="shared" si="32"/>
        <v>0</v>
      </c>
      <c r="J62" s="476">
        <f t="shared" si="32"/>
        <v>132.23</v>
      </c>
      <c r="K62" s="476">
        <f t="shared" si="32"/>
        <v>78.71</v>
      </c>
      <c r="L62" s="476">
        <f t="shared" si="32"/>
        <v>0</v>
      </c>
      <c r="M62" s="476">
        <f t="shared" si="32"/>
        <v>0</v>
      </c>
      <c r="N62" s="476">
        <f t="shared" si="32"/>
        <v>0</v>
      </c>
      <c r="O62" s="476">
        <f t="shared" si="32"/>
        <v>0</v>
      </c>
      <c r="P62" s="476">
        <f t="shared" si="32"/>
        <v>78.71</v>
      </c>
      <c r="Q62" s="476">
        <f t="shared" si="6"/>
        <v>210.94</v>
      </c>
      <c r="R62" s="476">
        <f t="shared" si="7"/>
        <v>0</v>
      </c>
      <c r="S62" s="476">
        <f t="shared" si="8"/>
        <v>0</v>
      </c>
      <c r="T62" s="476">
        <f t="shared" si="9"/>
        <v>0</v>
      </c>
      <c r="U62" s="476">
        <f t="shared" si="10"/>
        <v>0</v>
      </c>
      <c r="V62" s="476">
        <f t="shared" si="11"/>
        <v>210.94</v>
      </c>
    </row>
    <row r="63" spans="1:22" ht="19.5">
      <c r="A63" s="373"/>
      <c r="B63" s="485" t="s">
        <v>255</v>
      </c>
      <c r="C63" s="485"/>
      <c r="D63" s="373"/>
      <c r="E63" s="287">
        <v>132.23</v>
      </c>
      <c r="F63" s="287">
        <v>0</v>
      </c>
      <c r="G63" s="287">
        <v>0</v>
      </c>
      <c r="H63" s="287">
        <v>0</v>
      </c>
      <c r="I63" s="288">
        <f>SUM(F63:H63)*1.5</f>
        <v>0</v>
      </c>
      <c r="J63" s="298">
        <f>E63+I63</f>
        <v>132.23</v>
      </c>
      <c r="K63" s="287">
        <v>78.71</v>
      </c>
      <c r="L63" s="287">
        <v>0</v>
      </c>
      <c r="M63" s="287">
        <v>0</v>
      </c>
      <c r="N63" s="287">
        <v>0</v>
      </c>
      <c r="O63" s="288">
        <f>SUM(L63:N63)*1.5</f>
        <v>0</v>
      </c>
      <c r="P63" s="298">
        <f>K63+O63</f>
        <v>78.71</v>
      </c>
      <c r="Q63" s="298">
        <f t="shared" si="6"/>
        <v>210.94</v>
      </c>
      <c r="R63" s="298">
        <f t="shared" si="7"/>
        <v>0</v>
      </c>
      <c r="S63" s="298">
        <f t="shared" si="8"/>
        <v>0</v>
      </c>
      <c r="T63" s="298">
        <f t="shared" si="9"/>
        <v>0</v>
      </c>
      <c r="U63" s="298">
        <f t="shared" si="10"/>
        <v>0</v>
      </c>
      <c r="V63" s="298">
        <f t="shared" si="11"/>
        <v>210.94</v>
      </c>
    </row>
    <row r="64" spans="1:22" ht="19.5">
      <c r="A64" s="483" t="s">
        <v>269</v>
      </c>
      <c r="B64" s="483"/>
      <c r="C64" s="483"/>
      <c r="D64" s="483"/>
      <c r="E64" s="476">
        <f>SUM(E65+E66+E69)</f>
        <v>61.55</v>
      </c>
      <c r="F64" s="476">
        <f aca="true" t="shared" si="33" ref="F64:P64">SUM(F65+F66+F69)</f>
        <v>0</v>
      </c>
      <c r="G64" s="476">
        <f t="shared" si="33"/>
        <v>0</v>
      </c>
      <c r="H64" s="476">
        <f t="shared" si="33"/>
        <v>0</v>
      </c>
      <c r="I64" s="476">
        <f t="shared" si="33"/>
        <v>0</v>
      </c>
      <c r="J64" s="476">
        <f t="shared" si="33"/>
        <v>61.55</v>
      </c>
      <c r="K64" s="476">
        <f>SUM(K65+K66+K69)</f>
        <v>0</v>
      </c>
      <c r="L64" s="476">
        <f t="shared" si="33"/>
        <v>0</v>
      </c>
      <c r="M64" s="476">
        <f t="shared" si="33"/>
        <v>0</v>
      </c>
      <c r="N64" s="476">
        <f t="shared" si="33"/>
        <v>0</v>
      </c>
      <c r="O64" s="476">
        <f t="shared" si="33"/>
        <v>0</v>
      </c>
      <c r="P64" s="476">
        <f t="shared" si="33"/>
        <v>0</v>
      </c>
      <c r="Q64" s="476">
        <f t="shared" si="6"/>
        <v>61.55</v>
      </c>
      <c r="R64" s="476">
        <f t="shared" si="7"/>
        <v>0</v>
      </c>
      <c r="S64" s="476">
        <f t="shared" si="8"/>
        <v>0</v>
      </c>
      <c r="T64" s="476">
        <f t="shared" si="9"/>
        <v>0</v>
      </c>
      <c r="U64" s="476">
        <f t="shared" si="10"/>
        <v>0</v>
      </c>
      <c r="V64" s="476">
        <f t="shared" si="11"/>
        <v>61.55</v>
      </c>
    </row>
    <row r="65" spans="1:22" ht="19.5">
      <c r="A65" s="373"/>
      <c r="B65" s="485" t="s">
        <v>256</v>
      </c>
      <c r="C65" s="485"/>
      <c r="D65" s="485"/>
      <c r="E65" s="306">
        <v>6.44</v>
      </c>
      <c r="F65" s="306">
        <v>0</v>
      </c>
      <c r="G65" s="306">
        <v>0</v>
      </c>
      <c r="H65" s="306">
        <v>0</v>
      </c>
      <c r="I65" s="307">
        <f>SUM(F65:H65)*1.5</f>
        <v>0</v>
      </c>
      <c r="J65" s="298">
        <f>E65+I65</f>
        <v>6.44</v>
      </c>
      <c r="K65" s="287"/>
      <c r="L65" s="287">
        <v>0</v>
      </c>
      <c r="M65" s="287">
        <v>0</v>
      </c>
      <c r="N65" s="287">
        <v>0</v>
      </c>
      <c r="O65" s="288">
        <f>SUM(L65:N65)*1.5</f>
        <v>0</v>
      </c>
      <c r="P65" s="298">
        <f>K65+O65</f>
        <v>0</v>
      </c>
      <c r="Q65" s="474">
        <f t="shared" si="6"/>
        <v>6.44</v>
      </c>
      <c r="R65" s="474">
        <f t="shared" si="7"/>
        <v>0</v>
      </c>
      <c r="S65" s="474">
        <f t="shared" si="8"/>
        <v>0</v>
      </c>
      <c r="T65" s="474">
        <f t="shared" si="9"/>
        <v>0</v>
      </c>
      <c r="U65" s="474">
        <f t="shared" si="10"/>
        <v>0</v>
      </c>
      <c r="V65" s="474">
        <f t="shared" si="11"/>
        <v>6.44</v>
      </c>
    </row>
    <row r="66" spans="1:22" ht="19.5">
      <c r="A66" s="373"/>
      <c r="B66" s="485" t="s">
        <v>257</v>
      </c>
      <c r="C66" s="485"/>
      <c r="D66" s="485"/>
      <c r="E66" s="306">
        <f>SUM(E67:E68)</f>
        <v>22.279999999999998</v>
      </c>
      <c r="F66" s="306">
        <f>SUM(F67:F68)</f>
        <v>0</v>
      </c>
      <c r="G66" s="306">
        <f>SUM(G67:G68)</f>
        <v>0</v>
      </c>
      <c r="H66" s="306">
        <f>SUM(H67:H68)</f>
        <v>0</v>
      </c>
      <c r="I66" s="306">
        <f>SUM(I67:I68)</f>
        <v>0</v>
      </c>
      <c r="J66" s="287">
        <f aca="true" t="shared" si="34" ref="J66:P66">SUM(J67:J68)</f>
        <v>22.279999999999998</v>
      </c>
      <c r="K66" s="287">
        <f>SUM(K67:K68)</f>
        <v>0</v>
      </c>
      <c r="L66" s="287">
        <f>SUM(L67:L68)</f>
        <v>0</v>
      </c>
      <c r="M66" s="287">
        <f t="shared" si="34"/>
        <v>0</v>
      </c>
      <c r="N66" s="287">
        <f t="shared" si="34"/>
        <v>0</v>
      </c>
      <c r="O66" s="287">
        <f t="shared" si="34"/>
        <v>0</v>
      </c>
      <c r="P66" s="287">
        <f t="shared" si="34"/>
        <v>0</v>
      </c>
      <c r="Q66" s="474">
        <f t="shared" si="6"/>
        <v>22.279999999999998</v>
      </c>
      <c r="R66" s="474">
        <f t="shared" si="7"/>
        <v>0</v>
      </c>
      <c r="S66" s="474">
        <f t="shared" si="8"/>
        <v>0</v>
      </c>
      <c r="T66" s="474">
        <f t="shared" si="9"/>
        <v>0</v>
      </c>
      <c r="U66" s="474">
        <f t="shared" si="10"/>
        <v>0</v>
      </c>
      <c r="V66" s="474">
        <f t="shared" si="11"/>
        <v>22.279999999999998</v>
      </c>
    </row>
    <row r="67" spans="1:22" ht="19.5">
      <c r="A67" s="373"/>
      <c r="B67" s="485"/>
      <c r="C67" s="485"/>
      <c r="D67" s="485" t="s">
        <v>258</v>
      </c>
      <c r="E67" s="310">
        <f>21.83+0.23</f>
        <v>22.06</v>
      </c>
      <c r="F67" s="306">
        <v>0</v>
      </c>
      <c r="G67" s="306">
        <v>0</v>
      </c>
      <c r="H67" s="306">
        <v>0</v>
      </c>
      <c r="I67" s="307">
        <f aca="true" t="shared" si="35" ref="I67:I106">SUM(F67:H67)*1.5</f>
        <v>0</v>
      </c>
      <c r="J67" s="298">
        <f>E67+I67</f>
        <v>22.06</v>
      </c>
      <c r="K67" s="287"/>
      <c r="L67" s="287">
        <v>0</v>
      </c>
      <c r="M67" s="287">
        <v>0</v>
      </c>
      <c r="N67" s="287">
        <v>0</v>
      </c>
      <c r="O67" s="288">
        <f>SUM(L67:N67)*1.5</f>
        <v>0</v>
      </c>
      <c r="P67" s="298">
        <f>K67+O67</f>
        <v>0</v>
      </c>
      <c r="Q67" s="474">
        <f t="shared" si="6"/>
        <v>22.06</v>
      </c>
      <c r="R67" s="474">
        <f t="shared" si="7"/>
        <v>0</v>
      </c>
      <c r="S67" s="474">
        <f t="shared" si="8"/>
        <v>0</v>
      </c>
      <c r="T67" s="474">
        <f t="shared" si="9"/>
        <v>0</v>
      </c>
      <c r="U67" s="474">
        <f t="shared" si="10"/>
        <v>0</v>
      </c>
      <c r="V67" s="474">
        <f t="shared" si="11"/>
        <v>22.06</v>
      </c>
    </row>
    <row r="68" spans="1:22" ht="19.5">
      <c r="A68" s="373"/>
      <c r="B68" s="485"/>
      <c r="C68" s="485"/>
      <c r="D68" s="485" t="s">
        <v>259</v>
      </c>
      <c r="E68" s="310">
        <v>0.22</v>
      </c>
      <c r="F68" s="306">
        <v>0</v>
      </c>
      <c r="G68" s="306">
        <v>0</v>
      </c>
      <c r="H68" s="306">
        <v>0</v>
      </c>
      <c r="I68" s="307">
        <f t="shared" si="35"/>
        <v>0</v>
      </c>
      <c r="J68" s="298">
        <f>E68+I68</f>
        <v>0.22</v>
      </c>
      <c r="K68" s="287">
        <v>0</v>
      </c>
      <c r="L68" s="287">
        <v>0</v>
      </c>
      <c r="M68" s="287">
        <v>0</v>
      </c>
      <c r="N68" s="287">
        <v>0</v>
      </c>
      <c r="O68" s="288">
        <f>SUM(L68:N68)*1.5</f>
        <v>0</v>
      </c>
      <c r="P68" s="298">
        <f>K68+O68</f>
        <v>0</v>
      </c>
      <c r="Q68" s="474">
        <f t="shared" si="6"/>
        <v>0.22</v>
      </c>
      <c r="R68" s="474">
        <f t="shared" si="7"/>
        <v>0</v>
      </c>
      <c r="S68" s="474">
        <f t="shared" si="8"/>
        <v>0</v>
      </c>
      <c r="T68" s="474">
        <f t="shared" si="9"/>
        <v>0</v>
      </c>
      <c r="U68" s="474">
        <f t="shared" si="10"/>
        <v>0</v>
      </c>
      <c r="V68" s="474">
        <f t="shared" si="11"/>
        <v>0.22</v>
      </c>
    </row>
    <row r="69" spans="1:22" ht="19.5">
      <c r="A69" s="373"/>
      <c r="B69" s="485" t="s">
        <v>262</v>
      </c>
      <c r="C69" s="485"/>
      <c r="D69" s="485"/>
      <c r="E69" s="306">
        <v>32.83</v>
      </c>
      <c r="F69" s="306">
        <v>0</v>
      </c>
      <c r="G69" s="306">
        <v>0</v>
      </c>
      <c r="H69" s="306">
        <v>0</v>
      </c>
      <c r="I69" s="307">
        <f t="shared" si="35"/>
        <v>0</v>
      </c>
      <c r="J69" s="298">
        <f>E69+I69</f>
        <v>32.83</v>
      </c>
      <c r="K69" s="287">
        <v>0</v>
      </c>
      <c r="L69" s="287">
        <v>0</v>
      </c>
      <c r="M69" s="287">
        <v>0</v>
      </c>
      <c r="N69" s="287">
        <v>0</v>
      </c>
      <c r="O69" s="288">
        <f>SUM(L69:N69)*1.5</f>
        <v>0</v>
      </c>
      <c r="P69" s="298">
        <f>K69+O69</f>
        <v>0</v>
      </c>
      <c r="Q69" s="474">
        <f t="shared" si="6"/>
        <v>32.83</v>
      </c>
      <c r="R69" s="474">
        <f t="shared" si="7"/>
        <v>0</v>
      </c>
      <c r="S69" s="474">
        <f t="shared" si="8"/>
        <v>0</v>
      </c>
      <c r="T69" s="474">
        <f t="shared" si="9"/>
        <v>0</v>
      </c>
      <c r="U69" s="474">
        <f t="shared" si="10"/>
        <v>0</v>
      </c>
      <c r="V69" s="474">
        <f t="shared" si="11"/>
        <v>32.83</v>
      </c>
    </row>
    <row r="70" spans="1:22" ht="19.5">
      <c r="A70" s="483" t="s">
        <v>270</v>
      </c>
      <c r="B70" s="483"/>
      <c r="C70" s="483"/>
      <c r="D70" s="483"/>
      <c r="E70" s="476">
        <f aca="true" t="shared" si="36" ref="E70:P70">SUM(E71+E73+E78+E83+E85+E91+E96+E98)</f>
        <v>1092.3</v>
      </c>
      <c r="F70" s="476">
        <f t="shared" si="36"/>
        <v>0</v>
      </c>
      <c r="G70" s="476">
        <f t="shared" si="36"/>
        <v>0</v>
      </c>
      <c r="H70" s="476">
        <f t="shared" si="36"/>
        <v>0</v>
      </c>
      <c r="I70" s="476">
        <f t="shared" si="36"/>
        <v>0</v>
      </c>
      <c r="J70" s="476">
        <f t="shared" si="36"/>
        <v>1092.3</v>
      </c>
      <c r="K70" s="476">
        <f t="shared" si="36"/>
        <v>0</v>
      </c>
      <c r="L70" s="476">
        <f t="shared" si="36"/>
        <v>0</v>
      </c>
      <c r="M70" s="476">
        <f t="shared" si="36"/>
        <v>6</v>
      </c>
      <c r="N70" s="476">
        <f t="shared" si="36"/>
        <v>1.25</v>
      </c>
      <c r="O70" s="476">
        <f t="shared" si="36"/>
        <v>10.875</v>
      </c>
      <c r="P70" s="476">
        <f t="shared" si="36"/>
        <v>19.875</v>
      </c>
      <c r="Q70" s="476">
        <f aca="true" t="shared" si="37" ref="Q70:Q133">SUM(E70+K70)</f>
        <v>1092.3</v>
      </c>
      <c r="R70" s="476">
        <f aca="true" t="shared" si="38" ref="R70:R133">SUM(F70+L70)</f>
        <v>0</v>
      </c>
      <c r="S70" s="476">
        <f aca="true" t="shared" si="39" ref="S70:S133">SUM(G70+M70)</f>
        <v>6</v>
      </c>
      <c r="T70" s="476">
        <f aca="true" t="shared" si="40" ref="T70:T133">SUM(H70+N70)</f>
        <v>1.25</v>
      </c>
      <c r="U70" s="476">
        <f aca="true" t="shared" si="41" ref="U70:U133">SUM(I70+O70)</f>
        <v>10.875</v>
      </c>
      <c r="V70" s="476">
        <f aca="true" t="shared" si="42" ref="V70:V133">SUM(J70+P70)</f>
        <v>1112.175</v>
      </c>
    </row>
    <row r="71" spans="1:22" ht="19.5">
      <c r="A71" s="373"/>
      <c r="B71" s="485" t="s">
        <v>208</v>
      </c>
      <c r="C71" s="485"/>
      <c r="D71" s="485"/>
      <c r="E71" s="298">
        <v>0</v>
      </c>
      <c r="F71" s="298">
        <v>0</v>
      </c>
      <c r="G71" s="298">
        <v>0</v>
      </c>
      <c r="H71" s="53">
        <v>0</v>
      </c>
      <c r="I71" s="288">
        <f t="shared" si="35"/>
        <v>0</v>
      </c>
      <c r="J71" s="298">
        <f>E71+I71</f>
        <v>0</v>
      </c>
      <c r="K71" s="298">
        <v>0</v>
      </c>
      <c r="L71" s="298">
        <v>0</v>
      </c>
      <c r="M71" s="298">
        <v>0</v>
      </c>
      <c r="N71" s="298">
        <v>0</v>
      </c>
      <c r="O71" s="288">
        <f>SUM(L71:N71)*1.5</f>
        <v>0</v>
      </c>
      <c r="P71" s="379">
        <f>K71+O71</f>
        <v>0</v>
      </c>
      <c r="Q71" s="379">
        <f t="shared" si="37"/>
        <v>0</v>
      </c>
      <c r="R71" s="379">
        <f t="shared" si="38"/>
        <v>0</v>
      </c>
      <c r="S71" s="379">
        <f t="shared" si="39"/>
        <v>0</v>
      </c>
      <c r="T71" s="379">
        <f t="shared" si="40"/>
        <v>0</v>
      </c>
      <c r="U71" s="379">
        <f t="shared" si="41"/>
        <v>0</v>
      </c>
      <c r="V71" s="379">
        <f t="shared" si="42"/>
        <v>0</v>
      </c>
    </row>
    <row r="72" spans="1:22" ht="19.5">
      <c r="A72" s="486"/>
      <c r="B72" s="22" t="s">
        <v>209</v>
      </c>
      <c r="C72" s="22"/>
      <c r="D72" s="22"/>
      <c r="E72" s="326">
        <v>0</v>
      </c>
      <c r="F72" s="326">
        <v>0</v>
      </c>
      <c r="G72" s="326">
        <v>0</v>
      </c>
      <c r="H72" s="63">
        <v>0</v>
      </c>
      <c r="I72" s="316">
        <f t="shared" si="35"/>
        <v>0</v>
      </c>
      <c r="J72" s="326">
        <f>E72+I72</f>
        <v>0</v>
      </c>
      <c r="K72" s="326">
        <v>0</v>
      </c>
      <c r="L72" s="326">
        <v>0</v>
      </c>
      <c r="M72" s="326">
        <v>0</v>
      </c>
      <c r="N72" s="326">
        <v>0</v>
      </c>
      <c r="O72" s="316">
        <f>SUM(L72:N72)*1.5</f>
        <v>0</v>
      </c>
      <c r="P72" s="326">
        <f>K72+O72</f>
        <v>0</v>
      </c>
      <c r="Q72" s="326">
        <f t="shared" si="37"/>
        <v>0</v>
      </c>
      <c r="R72" s="326">
        <f t="shared" si="38"/>
        <v>0</v>
      </c>
      <c r="S72" s="326">
        <f t="shared" si="39"/>
        <v>0</v>
      </c>
      <c r="T72" s="326">
        <f t="shared" si="40"/>
        <v>0</v>
      </c>
      <c r="U72" s="326">
        <f t="shared" si="41"/>
        <v>0</v>
      </c>
      <c r="V72" s="326">
        <f t="shared" si="42"/>
        <v>0</v>
      </c>
    </row>
    <row r="73" spans="1:22" ht="19.5">
      <c r="A73" s="506"/>
      <c r="B73" s="507" t="s">
        <v>187</v>
      </c>
      <c r="C73" s="507"/>
      <c r="D73" s="508"/>
      <c r="E73" s="466">
        <f>SUM(E74:E77)</f>
        <v>730.0699999999999</v>
      </c>
      <c r="F73" s="466">
        <f aca="true" t="shared" si="43" ref="F73:P73">SUM(F74:F77)</f>
        <v>0</v>
      </c>
      <c r="G73" s="466">
        <f t="shared" si="43"/>
        <v>0</v>
      </c>
      <c r="H73" s="466">
        <f t="shared" si="43"/>
        <v>0</v>
      </c>
      <c r="I73" s="466">
        <f t="shared" si="43"/>
        <v>0</v>
      </c>
      <c r="J73" s="466">
        <f t="shared" si="43"/>
        <v>730.0699999999999</v>
      </c>
      <c r="K73" s="466">
        <f t="shared" si="43"/>
        <v>0</v>
      </c>
      <c r="L73" s="466">
        <f t="shared" si="43"/>
        <v>0</v>
      </c>
      <c r="M73" s="466">
        <f t="shared" si="43"/>
        <v>0</v>
      </c>
      <c r="N73" s="466">
        <f t="shared" si="43"/>
        <v>0</v>
      </c>
      <c r="O73" s="466">
        <f t="shared" si="43"/>
        <v>0</v>
      </c>
      <c r="P73" s="466">
        <f t="shared" si="43"/>
        <v>0</v>
      </c>
      <c r="Q73" s="466">
        <f t="shared" si="37"/>
        <v>730.0699999999999</v>
      </c>
      <c r="R73" s="466">
        <f t="shared" si="38"/>
        <v>0</v>
      </c>
      <c r="S73" s="466">
        <f t="shared" si="39"/>
        <v>0</v>
      </c>
      <c r="T73" s="466">
        <f t="shared" si="40"/>
        <v>0</v>
      </c>
      <c r="U73" s="466">
        <f t="shared" si="41"/>
        <v>0</v>
      </c>
      <c r="V73" s="466">
        <f t="shared" si="42"/>
        <v>730.0699999999999</v>
      </c>
    </row>
    <row r="74" spans="1:22" ht="19.5">
      <c r="A74" s="373"/>
      <c r="B74" s="485"/>
      <c r="C74" s="485"/>
      <c r="D74" s="485" t="s">
        <v>210</v>
      </c>
      <c r="E74" s="290">
        <v>59.23</v>
      </c>
      <c r="F74" s="287">
        <v>0</v>
      </c>
      <c r="G74" s="287">
        <v>0</v>
      </c>
      <c r="H74" s="287">
        <v>0</v>
      </c>
      <c r="I74" s="288">
        <f t="shared" si="35"/>
        <v>0</v>
      </c>
      <c r="J74" s="298">
        <f aca="true" t="shared" si="44" ref="J74:J84">E74+I74</f>
        <v>59.23</v>
      </c>
      <c r="K74" s="287"/>
      <c r="L74" s="287">
        <v>0</v>
      </c>
      <c r="M74" s="287">
        <v>0</v>
      </c>
      <c r="N74" s="287">
        <v>0</v>
      </c>
      <c r="O74" s="288">
        <f>SUM(L74:N74)*1.5</f>
        <v>0</v>
      </c>
      <c r="P74" s="298">
        <f>K74+O74</f>
        <v>0</v>
      </c>
      <c r="Q74" s="474">
        <f t="shared" si="37"/>
        <v>59.23</v>
      </c>
      <c r="R74" s="474">
        <f t="shared" si="38"/>
        <v>0</v>
      </c>
      <c r="S74" s="474">
        <f t="shared" si="39"/>
        <v>0</v>
      </c>
      <c r="T74" s="474">
        <f t="shared" si="40"/>
        <v>0</v>
      </c>
      <c r="U74" s="474">
        <f t="shared" si="41"/>
        <v>0</v>
      </c>
      <c r="V74" s="474">
        <f t="shared" si="42"/>
        <v>59.23</v>
      </c>
    </row>
    <row r="75" spans="1:22" ht="19.5">
      <c r="A75" s="373"/>
      <c r="B75" s="485"/>
      <c r="C75" s="485"/>
      <c r="D75" s="485" t="s">
        <v>211</v>
      </c>
      <c r="E75" s="290">
        <v>520.9</v>
      </c>
      <c r="F75" s="287">
        <v>0</v>
      </c>
      <c r="G75" s="287">
        <v>0</v>
      </c>
      <c r="H75" s="287">
        <v>0</v>
      </c>
      <c r="I75" s="288">
        <f t="shared" si="35"/>
        <v>0</v>
      </c>
      <c r="J75" s="298">
        <f t="shared" si="44"/>
        <v>520.9</v>
      </c>
      <c r="K75" s="287">
        <v>0</v>
      </c>
      <c r="L75" s="287">
        <v>0</v>
      </c>
      <c r="M75" s="287">
        <v>0</v>
      </c>
      <c r="N75" s="287">
        <v>0</v>
      </c>
      <c r="O75" s="288">
        <f>SUM(L75:N75)*1.5</f>
        <v>0</v>
      </c>
      <c r="P75" s="298">
        <f>K75+O75</f>
        <v>0</v>
      </c>
      <c r="Q75" s="474">
        <f t="shared" si="37"/>
        <v>520.9</v>
      </c>
      <c r="R75" s="474">
        <f t="shared" si="38"/>
        <v>0</v>
      </c>
      <c r="S75" s="474">
        <f t="shared" si="39"/>
        <v>0</v>
      </c>
      <c r="T75" s="474">
        <f t="shared" si="40"/>
        <v>0</v>
      </c>
      <c r="U75" s="474">
        <f t="shared" si="41"/>
        <v>0</v>
      </c>
      <c r="V75" s="474">
        <f t="shared" si="42"/>
        <v>520.9</v>
      </c>
    </row>
    <row r="76" spans="1:22" ht="19.5">
      <c r="A76" s="373"/>
      <c r="B76" s="485"/>
      <c r="C76" s="485"/>
      <c r="D76" s="485" t="s">
        <v>212</v>
      </c>
      <c r="E76" s="290">
        <v>96.16</v>
      </c>
      <c r="F76" s="287">
        <v>0</v>
      </c>
      <c r="G76" s="287">
        <v>0</v>
      </c>
      <c r="H76" s="287">
        <v>0</v>
      </c>
      <c r="I76" s="288">
        <f t="shared" si="35"/>
        <v>0</v>
      </c>
      <c r="J76" s="298">
        <f t="shared" si="44"/>
        <v>96.16</v>
      </c>
      <c r="K76" s="287">
        <v>0</v>
      </c>
      <c r="L76" s="287">
        <v>0</v>
      </c>
      <c r="M76" s="287">
        <v>0</v>
      </c>
      <c r="N76" s="287">
        <v>0</v>
      </c>
      <c r="O76" s="288">
        <f>SUM(L76:N76)*1.5</f>
        <v>0</v>
      </c>
      <c r="P76" s="298">
        <f>K76+O76</f>
        <v>0</v>
      </c>
      <c r="Q76" s="474">
        <f t="shared" si="37"/>
        <v>96.16</v>
      </c>
      <c r="R76" s="474">
        <f t="shared" si="38"/>
        <v>0</v>
      </c>
      <c r="S76" s="474">
        <f t="shared" si="39"/>
        <v>0</v>
      </c>
      <c r="T76" s="474">
        <f t="shared" si="40"/>
        <v>0</v>
      </c>
      <c r="U76" s="474">
        <f t="shared" si="41"/>
        <v>0</v>
      </c>
      <c r="V76" s="474">
        <f t="shared" si="42"/>
        <v>96.16</v>
      </c>
    </row>
    <row r="77" spans="1:22" ht="19.5">
      <c r="A77" s="373"/>
      <c r="B77" s="485"/>
      <c r="C77" s="485"/>
      <c r="D77" s="485" t="s">
        <v>213</v>
      </c>
      <c r="E77" s="290">
        <f>24.33+29.45</f>
        <v>53.78</v>
      </c>
      <c r="F77" s="287">
        <v>0</v>
      </c>
      <c r="G77" s="287">
        <v>0</v>
      </c>
      <c r="H77" s="287">
        <v>0</v>
      </c>
      <c r="I77" s="288">
        <f t="shared" si="35"/>
        <v>0</v>
      </c>
      <c r="J77" s="298">
        <f t="shared" si="44"/>
        <v>53.78</v>
      </c>
      <c r="K77" s="287">
        <v>0</v>
      </c>
      <c r="L77" s="287">
        <v>0</v>
      </c>
      <c r="M77" s="287">
        <v>0</v>
      </c>
      <c r="N77" s="287">
        <v>0</v>
      </c>
      <c r="O77" s="288">
        <f>SUM(L77:N77)*1.5</f>
        <v>0</v>
      </c>
      <c r="P77" s="298">
        <f>K77+O77</f>
        <v>0</v>
      </c>
      <c r="Q77" s="474">
        <f t="shared" si="37"/>
        <v>53.78</v>
      </c>
      <c r="R77" s="474">
        <f t="shared" si="38"/>
        <v>0</v>
      </c>
      <c r="S77" s="474">
        <f t="shared" si="39"/>
        <v>0</v>
      </c>
      <c r="T77" s="474">
        <f t="shared" si="40"/>
        <v>0</v>
      </c>
      <c r="U77" s="474">
        <f t="shared" si="41"/>
        <v>0</v>
      </c>
      <c r="V77" s="474">
        <f t="shared" si="42"/>
        <v>53.78</v>
      </c>
    </row>
    <row r="78" spans="1:22" ht="19.5">
      <c r="A78" s="506"/>
      <c r="B78" s="507" t="s">
        <v>299</v>
      </c>
      <c r="C78" s="507"/>
      <c r="D78" s="508"/>
      <c r="E78" s="477">
        <f>SUM(E79:E82)</f>
        <v>73.24000000000001</v>
      </c>
      <c r="F78" s="477">
        <f>SUM(F79:F82)</f>
        <v>0</v>
      </c>
      <c r="G78" s="477">
        <f>SUM(G79:G82)</f>
        <v>0</v>
      </c>
      <c r="H78" s="477">
        <f>SUM(H79:H82)</f>
        <v>0</v>
      </c>
      <c r="I78" s="477">
        <f>SUM(I79:I82)</f>
        <v>0</v>
      </c>
      <c r="J78" s="466">
        <f t="shared" si="44"/>
        <v>73.24000000000001</v>
      </c>
      <c r="K78" s="477">
        <f aca="true" t="shared" si="45" ref="K78:P78">SUM(K79:K82)</f>
        <v>0</v>
      </c>
      <c r="L78" s="509">
        <f t="shared" si="45"/>
        <v>0</v>
      </c>
      <c r="M78" s="509">
        <f t="shared" si="45"/>
        <v>0</v>
      </c>
      <c r="N78" s="509">
        <f t="shared" si="45"/>
        <v>0</v>
      </c>
      <c r="O78" s="509">
        <f t="shared" si="45"/>
        <v>0</v>
      </c>
      <c r="P78" s="477">
        <f t="shared" si="45"/>
        <v>0</v>
      </c>
      <c r="Q78" s="477">
        <f t="shared" si="37"/>
        <v>73.24000000000001</v>
      </c>
      <c r="R78" s="477">
        <f t="shared" si="38"/>
        <v>0</v>
      </c>
      <c r="S78" s="477">
        <f t="shared" si="39"/>
        <v>0</v>
      </c>
      <c r="T78" s="477">
        <f t="shared" si="40"/>
        <v>0</v>
      </c>
      <c r="U78" s="477">
        <f t="shared" si="41"/>
        <v>0</v>
      </c>
      <c r="V78" s="477">
        <f t="shared" si="42"/>
        <v>73.24000000000001</v>
      </c>
    </row>
    <row r="79" spans="1:22" ht="19.5">
      <c r="A79" s="373"/>
      <c r="B79" s="485"/>
      <c r="C79" s="485"/>
      <c r="D79" s="485" t="s">
        <v>300</v>
      </c>
      <c r="E79" s="19">
        <v>28.67</v>
      </c>
      <c r="F79" s="287">
        <v>0</v>
      </c>
      <c r="G79" s="287">
        <v>0</v>
      </c>
      <c r="H79" s="287">
        <v>0</v>
      </c>
      <c r="I79" s="288">
        <f>SUM(F79:H79)*1.5</f>
        <v>0</v>
      </c>
      <c r="J79" s="298">
        <f t="shared" si="44"/>
        <v>28.67</v>
      </c>
      <c r="K79" s="287">
        <v>0</v>
      </c>
      <c r="L79" s="287">
        <v>0</v>
      </c>
      <c r="M79" s="287">
        <v>0</v>
      </c>
      <c r="N79" s="287">
        <v>0</v>
      </c>
      <c r="O79" s="288">
        <f>SUM(L79:N79)*1.5</f>
        <v>0</v>
      </c>
      <c r="P79" s="298">
        <f>K79+O79</f>
        <v>0</v>
      </c>
      <c r="Q79" s="298">
        <f t="shared" si="37"/>
        <v>28.67</v>
      </c>
      <c r="R79" s="298">
        <f t="shared" si="38"/>
        <v>0</v>
      </c>
      <c r="S79" s="298">
        <f t="shared" si="39"/>
        <v>0</v>
      </c>
      <c r="T79" s="298">
        <f t="shared" si="40"/>
        <v>0</v>
      </c>
      <c r="U79" s="298">
        <f t="shared" si="41"/>
        <v>0</v>
      </c>
      <c r="V79" s="298">
        <f t="shared" si="42"/>
        <v>28.67</v>
      </c>
    </row>
    <row r="80" spans="1:22" ht="19.5">
      <c r="A80" s="373"/>
      <c r="B80" s="485"/>
      <c r="C80" s="485"/>
      <c r="D80" s="485" t="s">
        <v>301</v>
      </c>
      <c r="E80" s="290">
        <v>8.89</v>
      </c>
      <c r="F80" s="287">
        <v>0</v>
      </c>
      <c r="G80" s="287">
        <v>0</v>
      </c>
      <c r="H80" s="287">
        <v>0</v>
      </c>
      <c r="I80" s="288">
        <f>SUM(F80:H80)*1.5</f>
        <v>0</v>
      </c>
      <c r="J80" s="298">
        <f t="shared" si="44"/>
        <v>8.89</v>
      </c>
      <c r="K80" s="287"/>
      <c r="L80" s="287">
        <v>0</v>
      </c>
      <c r="M80" s="287">
        <v>0</v>
      </c>
      <c r="N80" s="287">
        <v>0</v>
      </c>
      <c r="O80" s="288">
        <f>SUM(L80:N80)*1.5</f>
        <v>0</v>
      </c>
      <c r="P80" s="298">
        <f>K80+O80</f>
        <v>0</v>
      </c>
      <c r="Q80" s="298">
        <f t="shared" si="37"/>
        <v>8.89</v>
      </c>
      <c r="R80" s="298">
        <f t="shared" si="38"/>
        <v>0</v>
      </c>
      <c r="S80" s="298">
        <f t="shared" si="39"/>
        <v>0</v>
      </c>
      <c r="T80" s="298">
        <f t="shared" si="40"/>
        <v>0</v>
      </c>
      <c r="U80" s="298">
        <f t="shared" si="41"/>
        <v>0</v>
      </c>
      <c r="V80" s="298">
        <f t="shared" si="42"/>
        <v>8.89</v>
      </c>
    </row>
    <row r="81" spans="1:22" ht="19.5">
      <c r="A81" s="373"/>
      <c r="B81" s="485"/>
      <c r="C81" s="485"/>
      <c r="D81" s="485" t="s">
        <v>302</v>
      </c>
      <c r="E81" s="19">
        <v>19.51</v>
      </c>
      <c r="F81" s="287">
        <v>0</v>
      </c>
      <c r="G81" s="287">
        <v>0</v>
      </c>
      <c r="H81" s="287">
        <v>0</v>
      </c>
      <c r="I81" s="288">
        <f>SUM(F81:H81)*1.5</f>
        <v>0</v>
      </c>
      <c r="J81" s="298">
        <f t="shared" si="44"/>
        <v>19.51</v>
      </c>
      <c r="K81" s="287">
        <v>0</v>
      </c>
      <c r="L81" s="287">
        <v>0</v>
      </c>
      <c r="M81" s="287">
        <v>0</v>
      </c>
      <c r="N81" s="287">
        <v>0</v>
      </c>
      <c r="O81" s="288">
        <f>SUM(L81:N81)*1.5</f>
        <v>0</v>
      </c>
      <c r="P81" s="298">
        <f>K81+O81</f>
        <v>0</v>
      </c>
      <c r="Q81" s="298">
        <f t="shared" si="37"/>
        <v>19.51</v>
      </c>
      <c r="R81" s="298">
        <f t="shared" si="38"/>
        <v>0</v>
      </c>
      <c r="S81" s="298">
        <f t="shared" si="39"/>
        <v>0</v>
      </c>
      <c r="T81" s="298">
        <f t="shared" si="40"/>
        <v>0</v>
      </c>
      <c r="U81" s="298">
        <f t="shared" si="41"/>
        <v>0</v>
      </c>
      <c r="V81" s="298">
        <f t="shared" si="42"/>
        <v>19.51</v>
      </c>
    </row>
    <row r="82" spans="1:22" ht="19.5">
      <c r="A82" s="373"/>
      <c r="B82" s="485"/>
      <c r="C82" s="485"/>
      <c r="D82" s="485" t="s">
        <v>303</v>
      </c>
      <c r="E82" s="19">
        <v>16.17</v>
      </c>
      <c r="F82" s="287">
        <v>0</v>
      </c>
      <c r="G82" s="287">
        <v>0</v>
      </c>
      <c r="H82" s="287"/>
      <c r="I82" s="288">
        <f>SUM(F82:H82)*1.5</f>
        <v>0</v>
      </c>
      <c r="J82" s="298">
        <f t="shared" si="44"/>
        <v>16.17</v>
      </c>
      <c r="K82" s="287">
        <v>0</v>
      </c>
      <c r="L82" s="287">
        <v>0</v>
      </c>
      <c r="M82" s="287">
        <v>0</v>
      </c>
      <c r="N82" s="287">
        <v>0</v>
      </c>
      <c r="O82" s="288">
        <f>SUM(L82:N82)*1.5</f>
        <v>0</v>
      </c>
      <c r="P82" s="298">
        <f>K82+O82</f>
        <v>0</v>
      </c>
      <c r="Q82" s="298">
        <f t="shared" si="37"/>
        <v>16.17</v>
      </c>
      <c r="R82" s="298">
        <f t="shared" si="38"/>
        <v>0</v>
      </c>
      <c r="S82" s="298">
        <f t="shared" si="39"/>
        <v>0</v>
      </c>
      <c r="T82" s="298">
        <f t="shared" si="40"/>
        <v>0</v>
      </c>
      <c r="U82" s="298">
        <f t="shared" si="41"/>
        <v>0</v>
      </c>
      <c r="V82" s="298">
        <f t="shared" si="42"/>
        <v>16.17</v>
      </c>
    </row>
    <row r="83" spans="1:22" ht="19.5">
      <c r="A83" s="506"/>
      <c r="B83" s="510" t="s">
        <v>185</v>
      </c>
      <c r="C83" s="510"/>
      <c r="D83" s="507"/>
      <c r="E83" s="477">
        <f>SUM(E84:E84)</f>
        <v>3.38</v>
      </c>
      <c r="F83" s="477">
        <f>SUM(F84:F84)</f>
        <v>0</v>
      </c>
      <c r="G83" s="477">
        <f>SUM(G84:G84)</f>
        <v>0</v>
      </c>
      <c r="H83" s="477">
        <f>SUM(H84:H84)</f>
        <v>0</v>
      </c>
      <c r="I83" s="477">
        <f>SUM(I84:I84)</f>
        <v>0</v>
      </c>
      <c r="J83" s="466">
        <f t="shared" si="44"/>
        <v>3.38</v>
      </c>
      <c r="K83" s="477">
        <f aca="true" t="shared" si="46" ref="K83:P83">SUM(K84:K84)</f>
        <v>0</v>
      </c>
      <c r="L83" s="477">
        <f t="shared" si="46"/>
        <v>0</v>
      </c>
      <c r="M83" s="477">
        <f t="shared" si="46"/>
        <v>0</v>
      </c>
      <c r="N83" s="477">
        <f t="shared" si="46"/>
        <v>0</v>
      </c>
      <c r="O83" s="477">
        <f t="shared" si="46"/>
        <v>0</v>
      </c>
      <c r="P83" s="477">
        <f t="shared" si="46"/>
        <v>9</v>
      </c>
      <c r="Q83" s="477">
        <f t="shared" si="37"/>
        <v>3.38</v>
      </c>
      <c r="R83" s="477">
        <f t="shared" si="38"/>
        <v>0</v>
      </c>
      <c r="S83" s="477">
        <f t="shared" si="39"/>
        <v>0</v>
      </c>
      <c r="T83" s="477">
        <f t="shared" si="40"/>
        <v>0</v>
      </c>
      <c r="U83" s="477">
        <f t="shared" si="41"/>
        <v>0</v>
      </c>
      <c r="V83" s="477">
        <f t="shared" si="42"/>
        <v>12.379999999999999</v>
      </c>
    </row>
    <row r="84" spans="1:22" ht="19.5">
      <c r="A84" s="373"/>
      <c r="B84" s="488"/>
      <c r="C84" s="488"/>
      <c r="D84" s="485" t="s">
        <v>215</v>
      </c>
      <c r="E84" s="287">
        <v>3.38</v>
      </c>
      <c r="F84" s="287">
        <v>0</v>
      </c>
      <c r="G84" s="287">
        <v>0</v>
      </c>
      <c r="H84" s="287">
        <v>0</v>
      </c>
      <c r="I84" s="287">
        <f>SUM(F84:H84)*1.5</f>
        <v>0</v>
      </c>
      <c r="J84" s="298">
        <f t="shared" si="44"/>
        <v>3.38</v>
      </c>
      <c r="K84" s="287">
        <v>0</v>
      </c>
      <c r="L84" s="287">
        <v>0</v>
      </c>
      <c r="M84" s="287">
        <v>0</v>
      </c>
      <c r="N84" s="287">
        <v>0</v>
      </c>
      <c r="O84" s="287">
        <f>SUM(L84:N84)*1.5</f>
        <v>0</v>
      </c>
      <c r="P84" s="287">
        <f>SUM(P85)</f>
        <v>9</v>
      </c>
      <c r="Q84" s="287">
        <f t="shared" si="37"/>
        <v>3.38</v>
      </c>
      <c r="R84" s="287">
        <f t="shared" si="38"/>
        <v>0</v>
      </c>
      <c r="S84" s="287">
        <f t="shared" si="39"/>
        <v>0</v>
      </c>
      <c r="T84" s="287">
        <f t="shared" si="40"/>
        <v>0</v>
      </c>
      <c r="U84" s="287">
        <f t="shared" si="41"/>
        <v>0</v>
      </c>
      <c r="V84" s="287">
        <f t="shared" si="42"/>
        <v>12.379999999999999</v>
      </c>
    </row>
    <row r="85" spans="1:22" ht="19.5">
      <c r="A85" s="507"/>
      <c r="B85" s="507" t="s">
        <v>186</v>
      </c>
      <c r="C85" s="507"/>
      <c r="D85" s="507"/>
      <c r="E85" s="477">
        <f>SUM(E86+E89)</f>
        <v>84.11</v>
      </c>
      <c r="F85" s="477">
        <f aca="true" t="shared" si="47" ref="F85:P85">SUM(F86+F89)</f>
        <v>0</v>
      </c>
      <c r="G85" s="477">
        <f t="shared" si="47"/>
        <v>0</v>
      </c>
      <c r="H85" s="477">
        <f t="shared" si="47"/>
        <v>0</v>
      </c>
      <c r="I85" s="477">
        <f t="shared" si="47"/>
        <v>0</v>
      </c>
      <c r="J85" s="477">
        <f t="shared" si="47"/>
        <v>84.11</v>
      </c>
      <c r="K85" s="477">
        <f>SUM(K86+K89)</f>
        <v>0</v>
      </c>
      <c r="L85" s="477">
        <f>SUM(L86+L89)</f>
        <v>0</v>
      </c>
      <c r="M85" s="477">
        <f>SUM(M86+M89)</f>
        <v>6</v>
      </c>
      <c r="N85" s="477">
        <f>SUM(N86+N89)</f>
        <v>0</v>
      </c>
      <c r="O85" s="477">
        <f>SUM(O86+O89)</f>
        <v>9</v>
      </c>
      <c r="P85" s="477">
        <f t="shared" si="47"/>
        <v>9</v>
      </c>
      <c r="Q85" s="477">
        <f t="shared" si="37"/>
        <v>84.11</v>
      </c>
      <c r="R85" s="477">
        <f t="shared" si="38"/>
        <v>0</v>
      </c>
      <c r="S85" s="477">
        <f t="shared" si="39"/>
        <v>6</v>
      </c>
      <c r="T85" s="477">
        <f t="shared" si="40"/>
        <v>0</v>
      </c>
      <c r="U85" s="477">
        <f t="shared" si="41"/>
        <v>9</v>
      </c>
      <c r="V85" s="477">
        <f t="shared" si="42"/>
        <v>93.11</v>
      </c>
    </row>
    <row r="86" spans="1:22" ht="19.5">
      <c r="A86" s="373"/>
      <c r="B86" s="485"/>
      <c r="C86" s="485"/>
      <c r="D86" s="485" t="s">
        <v>311</v>
      </c>
      <c r="E86" s="287">
        <f>44.83+0.78+16.33+22.17</f>
        <v>84.11</v>
      </c>
      <c r="F86" s="251">
        <v>0</v>
      </c>
      <c r="G86" s="251">
        <v>0</v>
      </c>
      <c r="H86" s="287">
        <v>0</v>
      </c>
      <c r="I86" s="288">
        <f t="shared" si="35"/>
        <v>0</v>
      </c>
      <c r="J86" s="287">
        <f>E86+I86</f>
        <v>84.11</v>
      </c>
      <c r="K86" s="287"/>
      <c r="L86" s="287">
        <v>0</v>
      </c>
      <c r="M86" s="287">
        <v>6</v>
      </c>
      <c r="N86" s="287">
        <v>0</v>
      </c>
      <c r="O86" s="288">
        <f>SUM(L86:N86)*1.5</f>
        <v>9</v>
      </c>
      <c r="P86" s="287">
        <f>K86+O86</f>
        <v>9</v>
      </c>
      <c r="Q86" s="287">
        <f t="shared" si="37"/>
        <v>84.11</v>
      </c>
      <c r="R86" s="287">
        <f t="shared" si="38"/>
        <v>0</v>
      </c>
      <c r="S86" s="287">
        <f t="shared" si="39"/>
        <v>6</v>
      </c>
      <c r="T86" s="287">
        <f t="shared" si="40"/>
        <v>0</v>
      </c>
      <c r="U86" s="287">
        <f t="shared" si="41"/>
        <v>9</v>
      </c>
      <c r="V86" s="287">
        <f t="shared" si="42"/>
        <v>93.11</v>
      </c>
    </row>
    <row r="87" spans="1:22" ht="19.5">
      <c r="A87" s="486"/>
      <c r="B87" s="22"/>
      <c r="C87" s="22"/>
      <c r="D87" s="22" t="s">
        <v>195</v>
      </c>
      <c r="E87" s="23">
        <v>0</v>
      </c>
      <c r="F87" s="23">
        <v>0</v>
      </c>
      <c r="G87" s="23">
        <v>0</v>
      </c>
      <c r="H87" s="315">
        <v>0</v>
      </c>
      <c r="I87" s="316">
        <v>0</v>
      </c>
      <c r="J87" s="315">
        <f>E87+I87</f>
        <v>0</v>
      </c>
      <c r="K87" s="315">
        <v>0</v>
      </c>
      <c r="L87" s="315">
        <v>0</v>
      </c>
      <c r="M87" s="315"/>
      <c r="N87" s="315">
        <v>0</v>
      </c>
      <c r="O87" s="316">
        <f>SUM(L87:N87)*1.5</f>
        <v>0</v>
      </c>
      <c r="P87" s="315">
        <f>K87+O87</f>
        <v>0</v>
      </c>
      <c r="Q87" s="315">
        <f t="shared" si="37"/>
        <v>0</v>
      </c>
      <c r="R87" s="315">
        <f t="shared" si="38"/>
        <v>0</v>
      </c>
      <c r="S87" s="315">
        <f t="shared" si="39"/>
        <v>0</v>
      </c>
      <c r="T87" s="315">
        <f t="shared" si="40"/>
        <v>0</v>
      </c>
      <c r="U87" s="315">
        <f t="shared" si="41"/>
        <v>0</v>
      </c>
      <c r="V87" s="315">
        <f t="shared" si="42"/>
        <v>0</v>
      </c>
    </row>
    <row r="88" spans="1:22" ht="19.5">
      <c r="A88" s="486"/>
      <c r="B88" s="22"/>
      <c r="C88" s="22"/>
      <c r="D88" s="22" t="s">
        <v>197</v>
      </c>
      <c r="E88" s="23">
        <v>0</v>
      </c>
      <c r="F88" s="23">
        <v>0</v>
      </c>
      <c r="G88" s="23">
        <v>0</v>
      </c>
      <c r="H88" s="315">
        <v>0</v>
      </c>
      <c r="I88" s="316">
        <v>0</v>
      </c>
      <c r="J88" s="315">
        <v>0</v>
      </c>
      <c r="K88" s="315"/>
      <c r="L88" s="315">
        <v>0</v>
      </c>
      <c r="M88" s="315">
        <v>3</v>
      </c>
      <c r="N88" s="315">
        <v>0</v>
      </c>
      <c r="O88" s="316">
        <f>SUM(L88:N88)*1.5</f>
        <v>4.5</v>
      </c>
      <c r="P88" s="315">
        <f>K88+O88</f>
        <v>4.5</v>
      </c>
      <c r="Q88" s="315">
        <f t="shared" si="37"/>
        <v>0</v>
      </c>
      <c r="R88" s="315">
        <f t="shared" si="38"/>
        <v>0</v>
      </c>
      <c r="S88" s="315">
        <f t="shared" si="39"/>
        <v>3</v>
      </c>
      <c r="T88" s="315">
        <f t="shared" si="40"/>
        <v>0</v>
      </c>
      <c r="U88" s="315">
        <f t="shared" si="41"/>
        <v>4.5</v>
      </c>
      <c r="V88" s="315">
        <f t="shared" si="42"/>
        <v>4.5</v>
      </c>
    </row>
    <row r="89" spans="1:22" ht="19.5">
      <c r="A89" s="373"/>
      <c r="B89" s="485"/>
      <c r="C89" s="485"/>
      <c r="D89" s="485" t="s">
        <v>196</v>
      </c>
      <c r="E89" s="251">
        <v>0</v>
      </c>
      <c r="F89" s="251">
        <v>0</v>
      </c>
      <c r="G89" s="251">
        <v>0</v>
      </c>
      <c r="H89" s="287">
        <v>0</v>
      </c>
      <c r="I89" s="288">
        <f t="shared" si="35"/>
        <v>0</v>
      </c>
      <c r="J89" s="287">
        <f>E89+I89</f>
        <v>0</v>
      </c>
      <c r="K89" s="287">
        <v>0</v>
      </c>
      <c r="L89" s="287">
        <v>0</v>
      </c>
      <c r="M89" s="287">
        <v>0</v>
      </c>
      <c r="N89" s="287">
        <v>0</v>
      </c>
      <c r="O89" s="288">
        <f>SUM(L89:N89)*1.5</f>
        <v>0</v>
      </c>
      <c r="P89" s="287">
        <f>K89+O89</f>
        <v>0</v>
      </c>
      <c r="Q89" s="287">
        <f t="shared" si="37"/>
        <v>0</v>
      </c>
      <c r="R89" s="287">
        <f t="shared" si="38"/>
        <v>0</v>
      </c>
      <c r="S89" s="287">
        <f t="shared" si="39"/>
        <v>0</v>
      </c>
      <c r="T89" s="287">
        <f t="shared" si="40"/>
        <v>0</v>
      </c>
      <c r="U89" s="287">
        <f t="shared" si="41"/>
        <v>0</v>
      </c>
      <c r="V89" s="287">
        <f t="shared" si="42"/>
        <v>0</v>
      </c>
    </row>
    <row r="90" spans="1:22" ht="19.5">
      <c r="A90" s="486"/>
      <c r="B90" s="22"/>
      <c r="C90" s="22"/>
      <c r="D90" s="22" t="s">
        <v>197</v>
      </c>
      <c r="E90" s="23">
        <v>0</v>
      </c>
      <c r="F90" s="23">
        <v>0</v>
      </c>
      <c r="G90" s="23">
        <v>0</v>
      </c>
      <c r="H90" s="315">
        <v>0</v>
      </c>
      <c r="I90" s="316">
        <f t="shared" si="35"/>
        <v>0</v>
      </c>
      <c r="J90" s="315">
        <f>E90+I90</f>
        <v>0</v>
      </c>
      <c r="K90" s="315">
        <v>0</v>
      </c>
      <c r="L90" s="315">
        <v>0</v>
      </c>
      <c r="M90" s="315">
        <v>0</v>
      </c>
      <c r="N90" s="315">
        <v>0</v>
      </c>
      <c r="O90" s="316">
        <f>SUM(L90:N90)*1.5</f>
        <v>0</v>
      </c>
      <c r="P90" s="315">
        <f>K90+O90</f>
        <v>0</v>
      </c>
      <c r="Q90" s="315">
        <f t="shared" si="37"/>
        <v>0</v>
      </c>
      <c r="R90" s="315">
        <f t="shared" si="38"/>
        <v>0</v>
      </c>
      <c r="S90" s="315">
        <f t="shared" si="39"/>
        <v>0</v>
      </c>
      <c r="T90" s="315">
        <f t="shared" si="40"/>
        <v>0</v>
      </c>
      <c r="U90" s="315">
        <f t="shared" si="41"/>
        <v>0</v>
      </c>
      <c r="V90" s="315">
        <f t="shared" si="42"/>
        <v>0</v>
      </c>
    </row>
    <row r="91" spans="1:22" ht="19.5">
      <c r="A91" s="506"/>
      <c r="B91" s="507" t="s">
        <v>188</v>
      </c>
      <c r="C91" s="507"/>
      <c r="D91" s="507"/>
      <c r="E91" s="477">
        <f>SUM(E92:E95)</f>
        <v>50.17</v>
      </c>
      <c r="F91" s="477">
        <f aca="true" t="shared" si="48" ref="F91:P91">SUM(F92:F95)</f>
        <v>0</v>
      </c>
      <c r="G91" s="477">
        <f t="shared" si="48"/>
        <v>0</v>
      </c>
      <c r="H91" s="477">
        <f t="shared" si="48"/>
        <v>0</v>
      </c>
      <c r="I91" s="477">
        <f t="shared" si="48"/>
        <v>0</v>
      </c>
      <c r="J91" s="477">
        <f t="shared" si="48"/>
        <v>50.17</v>
      </c>
      <c r="K91" s="477">
        <f>SUM(K92:K95)</f>
        <v>0</v>
      </c>
      <c r="L91" s="477">
        <f t="shared" si="48"/>
        <v>0</v>
      </c>
      <c r="M91" s="477">
        <f t="shared" si="48"/>
        <v>0</v>
      </c>
      <c r="N91" s="477">
        <f t="shared" si="48"/>
        <v>0</v>
      </c>
      <c r="O91" s="477">
        <f t="shared" si="48"/>
        <v>0</v>
      </c>
      <c r="P91" s="477">
        <f t="shared" si="48"/>
        <v>0</v>
      </c>
      <c r="Q91" s="477">
        <f t="shared" si="37"/>
        <v>50.17</v>
      </c>
      <c r="R91" s="477">
        <f t="shared" si="38"/>
        <v>0</v>
      </c>
      <c r="S91" s="477">
        <f t="shared" si="39"/>
        <v>0</v>
      </c>
      <c r="T91" s="477">
        <f t="shared" si="40"/>
        <v>0</v>
      </c>
      <c r="U91" s="477">
        <f t="shared" si="41"/>
        <v>0</v>
      </c>
      <c r="V91" s="477">
        <f t="shared" si="42"/>
        <v>50.17</v>
      </c>
    </row>
    <row r="92" spans="1:22" ht="19.5">
      <c r="A92" s="373"/>
      <c r="B92" s="485"/>
      <c r="C92" s="485"/>
      <c r="D92" s="485" t="s">
        <v>189</v>
      </c>
      <c r="E92" s="290">
        <v>27.01</v>
      </c>
      <c r="F92" s="287">
        <v>0</v>
      </c>
      <c r="G92" s="287">
        <v>0</v>
      </c>
      <c r="H92" s="287">
        <v>0</v>
      </c>
      <c r="I92" s="288">
        <f t="shared" si="35"/>
        <v>0</v>
      </c>
      <c r="J92" s="287">
        <f>E92+I92</f>
        <v>27.01</v>
      </c>
      <c r="K92" s="287">
        <v>0</v>
      </c>
      <c r="L92" s="287">
        <v>0</v>
      </c>
      <c r="M92" s="287">
        <v>0</v>
      </c>
      <c r="N92" s="287">
        <v>0</v>
      </c>
      <c r="O92" s="288">
        <f>SUM(L92:N92)*1.5</f>
        <v>0</v>
      </c>
      <c r="P92" s="287">
        <f>K92+O92</f>
        <v>0</v>
      </c>
      <c r="Q92" s="287">
        <f t="shared" si="37"/>
        <v>27.01</v>
      </c>
      <c r="R92" s="287">
        <f t="shared" si="38"/>
        <v>0</v>
      </c>
      <c r="S92" s="287">
        <f t="shared" si="39"/>
        <v>0</v>
      </c>
      <c r="T92" s="287">
        <f t="shared" si="40"/>
        <v>0</v>
      </c>
      <c r="U92" s="287">
        <f t="shared" si="41"/>
        <v>0</v>
      </c>
      <c r="V92" s="287">
        <f t="shared" si="42"/>
        <v>27.01</v>
      </c>
    </row>
    <row r="93" spans="1:22" ht="19.5">
      <c r="A93" s="373"/>
      <c r="B93" s="485"/>
      <c r="C93" s="485"/>
      <c r="D93" s="485" t="s">
        <v>190</v>
      </c>
      <c r="E93" s="290">
        <v>0</v>
      </c>
      <c r="F93" s="287">
        <v>0</v>
      </c>
      <c r="G93" s="287">
        <v>0</v>
      </c>
      <c r="H93" s="287">
        <v>0</v>
      </c>
      <c r="I93" s="288">
        <f t="shared" si="35"/>
        <v>0</v>
      </c>
      <c r="J93" s="287">
        <f>E93+I93</f>
        <v>0</v>
      </c>
      <c r="K93" s="287">
        <v>0</v>
      </c>
      <c r="L93" s="287">
        <v>0</v>
      </c>
      <c r="M93" s="287">
        <v>0</v>
      </c>
      <c r="N93" s="287">
        <v>0</v>
      </c>
      <c r="O93" s="288">
        <f>SUM(L93:N93)*1.5</f>
        <v>0</v>
      </c>
      <c r="P93" s="287">
        <f>K93+O93</f>
        <v>0</v>
      </c>
      <c r="Q93" s="287">
        <f t="shared" si="37"/>
        <v>0</v>
      </c>
      <c r="R93" s="287">
        <f t="shared" si="38"/>
        <v>0</v>
      </c>
      <c r="S93" s="287">
        <f t="shared" si="39"/>
        <v>0</v>
      </c>
      <c r="T93" s="287">
        <f t="shared" si="40"/>
        <v>0</v>
      </c>
      <c r="U93" s="287">
        <f t="shared" si="41"/>
        <v>0</v>
      </c>
      <c r="V93" s="287">
        <f t="shared" si="42"/>
        <v>0</v>
      </c>
    </row>
    <row r="94" spans="1:22" ht="19.5">
      <c r="A94" s="373"/>
      <c r="B94" s="485"/>
      <c r="C94" s="485"/>
      <c r="D94" s="485" t="s">
        <v>191</v>
      </c>
      <c r="E94" s="290">
        <f>11.33</f>
        <v>11.33</v>
      </c>
      <c r="F94" s="287">
        <v>0</v>
      </c>
      <c r="G94" s="287">
        <v>0</v>
      </c>
      <c r="H94" s="287">
        <v>0</v>
      </c>
      <c r="I94" s="288">
        <f t="shared" si="35"/>
        <v>0</v>
      </c>
      <c r="J94" s="287">
        <f>E94+I94</f>
        <v>11.33</v>
      </c>
      <c r="K94" s="287">
        <v>0</v>
      </c>
      <c r="L94" s="287">
        <v>0</v>
      </c>
      <c r="M94" s="287">
        <v>0</v>
      </c>
      <c r="N94" s="287">
        <v>0</v>
      </c>
      <c r="O94" s="288">
        <f>SUM(L94:N94)*1.5</f>
        <v>0</v>
      </c>
      <c r="P94" s="287">
        <f>K94+O94</f>
        <v>0</v>
      </c>
      <c r="Q94" s="287">
        <f t="shared" si="37"/>
        <v>11.33</v>
      </c>
      <c r="R94" s="287">
        <f t="shared" si="38"/>
        <v>0</v>
      </c>
      <c r="S94" s="287">
        <f t="shared" si="39"/>
        <v>0</v>
      </c>
      <c r="T94" s="287">
        <f t="shared" si="40"/>
        <v>0</v>
      </c>
      <c r="U94" s="287">
        <f t="shared" si="41"/>
        <v>0</v>
      </c>
      <c r="V94" s="287">
        <f t="shared" si="42"/>
        <v>11.33</v>
      </c>
    </row>
    <row r="95" spans="1:22" ht="19.5">
      <c r="A95" s="373"/>
      <c r="B95" s="485"/>
      <c r="C95" s="485"/>
      <c r="D95" s="485" t="s">
        <v>192</v>
      </c>
      <c r="E95" s="290">
        <f>11.83</f>
        <v>11.83</v>
      </c>
      <c r="F95" s="287">
        <v>0</v>
      </c>
      <c r="G95" s="287">
        <v>0</v>
      </c>
      <c r="H95" s="287">
        <v>0</v>
      </c>
      <c r="I95" s="288">
        <f t="shared" si="35"/>
        <v>0</v>
      </c>
      <c r="J95" s="287">
        <f>E95+I95</f>
        <v>11.83</v>
      </c>
      <c r="K95" s="287">
        <v>0</v>
      </c>
      <c r="L95" s="287">
        <v>0</v>
      </c>
      <c r="M95" s="287">
        <v>0</v>
      </c>
      <c r="N95" s="287">
        <v>0</v>
      </c>
      <c r="O95" s="288">
        <f>SUM(L95:N95)*1.5</f>
        <v>0</v>
      </c>
      <c r="P95" s="287">
        <f>K95+O95</f>
        <v>0</v>
      </c>
      <c r="Q95" s="287">
        <f t="shared" si="37"/>
        <v>11.83</v>
      </c>
      <c r="R95" s="287">
        <f t="shared" si="38"/>
        <v>0</v>
      </c>
      <c r="S95" s="287">
        <f t="shared" si="39"/>
        <v>0</v>
      </c>
      <c r="T95" s="287">
        <f t="shared" si="40"/>
        <v>0</v>
      </c>
      <c r="U95" s="287">
        <f t="shared" si="41"/>
        <v>0</v>
      </c>
      <c r="V95" s="287">
        <f t="shared" si="42"/>
        <v>11.83</v>
      </c>
    </row>
    <row r="96" spans="1:22" ht="19.5">
      <c r="A96" s="506"/>
      <c r="B96" s="507" t="s">
        <v>200</v>
      </c>
      <c r="C96" s="507"/>
      <c r="D96" s="507"/>
      <c r="E96" s="477">
        <f>SUM(E97)</f>
        <v>104.99000000000001</v>
      </c>
      <c r="F96" s="477">
        <f aca="true" t="shared" si="49" ref="F96:P96">SUM(F97)</f>
        <v>0</v>
      </c>
      <c r="G96" s="477">
        <f t="shared" si="49"/>
        <v>0</v>
      </c>
      <c r="H96" s="477">
        <f t="shared" si="49"/>
        <v>0</v>
      </c>
      <c r="I96" s="477">
        <f t="shared" si="49"/>
        <v>0</v>
      </c>
      <c r="J96" s="477">
        <f t="shared" si="49"/>
        <v>104.99000000000001</v>
      </c>
      <c r="K96" s="477">
        <f>SUM(K97)</f>
        <v>0</v>
      </c>
      <c r="L96" s="477">
        <f t="shared" si="49"/>
        <v>0</v>
      </c>
      <c r="M96" s="477">
        <f t="shared" si="49"/>
        <v>0</v>
      </c>
      <c r="N96" s="477">
        <f t="shared" si="49"/>
        <v>1.25</v>
      </c>
      <c r="O96" s="477">
        <f t="shared" si="49"/>
        <v>1.875</v>
      </c>
      <c r="P96" s="477">
        <f t="shared" si="49"/>
        <v>1.875</v>
      </c>
      <c r="Q96" s="477">
        <f t="shared" si="37"/>
        <v>104.99000000000001</v>
      </c>
      <c r="R96" s="477">
        <f t="shared" si="38"/>
        <v>0</v>
      </c>
      <c r="S96" s="477">
        <f t="shared" si="39"/>
        <v>0</v>
      </c>
      <c r="T96" s="477">
        <f t="shared" si="40"/>
        <v>1.25</v>
      </c>
      <c r="U96" s="477">
        <f t="shared" si="41"/>
        <v>1.875</v>
      </c>
      <c r="V96" s="477">
        <f t="shared" si="42"/>
        <v>106.86500000000001</v>
      </c>
    </row>
    <row r="97" spans="1:22" ht="19.5">
      <c r="A97" s="373"/>
      <c r="B97" s="485"/>
      <c r="C97" s="485"/>
      <c r="D97" s="485" t="s">
        <v>193</v>
      </c>
      <c r="E97" s="290">
        <f>44.32+1.83+6.67+1.83+50.34</f>
        <v>104.99000000000001</v>
      </c>
      <c r="F97" s="287">
        <v>0</v>
      </c>
      <c r="G97" s="19"/>
      <c r="H97" s="19"/>
      <c r="I97" s="288">
        <f t="shared" si="35"/>
        <v>0</v>
      </c>
      <c r="J97" s="287">
        <f>E97+I97</f>
        <v>104.99000000000001</v>
      </c>
      <c r="K97" s="287"/>
      <c r="L97" s="287">
        <v>0</v>
      </c>
      <c r="M97" s="287">
        <v>0</v>
      </c>
      <c r="N97" s="287">
        <v>1.25</v>
      </c>
      <c r="O97" s="288">
        <f>SUM(L97:N97)*1.5</f>
        <v>1.875</v>
      </c>
      <c r="P97" s="287">
        <f>K97+O97</f>
        <v>1.875</v>
      </c>
      <c r="Q97" s="287">
        <f t="shared" si="37"/>
        <v>104.99000000000001</v>
      </c>
      <c r="R97" s="287">
        <f t="shared" si="38"/>
        <v>0</v>
      </c>
      <c r="S97" s="287">
        <f t="shared" si="39"/>
        <v>0</v>
      </c>
      <c r="T97" s="287">
        <f t="shared" si="40"/>
        <v>1.25</v>
      </c>
      <c r="U97" s="287">
        <f t="shared" si="41"/>
        <v>1.875</v>
      </c>
      <c r="V97" s="287">
        <f t="shared" si="42"/>
        <v>106.86500000000001</v>
      </c>
    </row>
    <row r="98" spans="1:22" ht="19.5">
      <c r="A98" s="506"/>
      <c r="B98" s="507" t="s">
        <v>199</v>
      </c>
      <c r="C98" s="507"/>
      <c r="D98" s="507"/>
      <c r="E98" s="477">
        <f>SUM(E99)</f>
        <v>46.34</v>
      </c>
      <c r="F98" s="477">
        <f aca="true" t="shared" si="50" ref="F98:P98">SUM(F99)</f>
        <v>0</v>
      </c>
      <c r="G98" s="477">
        <f t="shared" si="50"/>
        <v>0</v>
      </c>
      <c r="H98" s="477">
        <f t="shared" si="50"/>
        <v>0</v>
      </c>
      <c r="I98" s="477">
        <f t="shared" si="50"/>
        <v>0</v>
      </c>
      <c r="J98" s="477">
        <f t="shared" si="50"/>
        <v>46.34</v>
      </c>
      <c r="K98" s="477">
        <f>SUM(K99)</f>
        <v>0</v>
      </c>
      <c r="L98" s="477">
        <f t="shared" si="50"/>
        <v>0</v>
      </c>
      <c r="M98" s="477">
        <f t="shared" si="50"/>
        <v>0</v>
      </c>
      <c r="N98" s="477">
        <f t="shared" si="50"/>
        <v>0</v>
      </c>
      <c r="O98" s="477">
        <f t="shared" si="50"/>
        <v>0</v>
      </c>
      <c r="P98" s="477">
        <f t="shared" si="50"/>
        <v>0</v>
      </c>
      <c r="Q98" s="477">
        <f t="shared" si="37"/>
        <v>46.34</v>
      </c>
      <c r="R98" s="477">
        <f t="shared" si="38"/>
        <v>0</v>
      </c>
      <c r="S98" s="477">
        <f t="shared" si="39"/>
        <v>0</v>
      </c>
      <c r="T98" s="477">
        <f t="shared" si="40"/>
        <v>0</v>
      </c>
      <c r="U98" s="477">
        <f t="shared" si="41"/>
        <v>0</v>
      </c>
      <c r="V98" s="477">
        <f t="shared" si="42"/>
        <v>46.34</v>
      </c>
    </row>
    <row r="99" spans="1:22" ht="19.5">
      <c r="A99" s="373"/>
      <c r="B99" s="485"/>
      <c r="C99" s="485"/>
      <c r="D99" s="485" t="s">
        <v>198</v>
      </c>
      <c r="E99" s="290">
        <v>46.34</v>
      </c>
      <c r="F99" s="287">
        <v>0</v>
      </c>
      <c r="G99" s="287">
        <v>0</v>
      </c>
      <c r="H99" s="287">
        <v>0</v>
      </c>
      <c r="I99" s="288">
        <f t="shared" si="35"/>
        <v>0</v>
      </c>
      <c r="J99" s="287">
        <f>E99+I99</f>
        <v>46.34</v>
      </c>
      <c r="K99" s="287">
        <v>0</v>
      </c>
      <c r="L99" s="287">
        <v>0</v>
      </c>
      <c r="M99" s="287">
        <v>0</v>
      </c>
      <c r="N99" s="287">
        <v>0</v>
      </c>
      <c r="O99" s="288">
        <f>SUM(L99:N99)*1.5</f>
        <v>0</v>
      </c>
      <c r="P99" s="287">
        <f>K99+O99</f>
        <v>0</v>
      </c>
      <c r="Q99" s="287">
        <f t="shared" si="37"/>
        <v>46.34</v>
      </c>
      <c r="R99" s="287">
        <f t="shared" si="38"/>
        <v>0</v>
      </c>
      <c r="S99" s="287">
        <f t="shared" si="39"/>
        <v>0</v>
      </c>
      <c r="T99" s="287">
        <f t="shared" si="40"/>
        <v>0</v>
      </c>
      <c r="U99" s="287">
        <f t="shared" si="41"/>
        <v>0</v>
      </c>
      <c r="V99" s="287">
        <f t="shared" si="42"/>
        <v>46.34</v>
      </c>
    </row>
    <row r="100" spans="1:22" ht="19.5">
      <c r="A100" s="373"/>
      <c r="B100" s="485"/>
      <c r="C100" s="485"/>
      <c r="D100" s="485"/>
      <c r="E100" s="290"/>
      <c r="F100" s="287"/>
      <c r="G100" s="287"/>
      <c r="H100" s="287"/>
      <c r="I100" s="288"/>
      <c r="J100" s="287"/>
      <c r="K100" s="287"/>
      <c r="L100" s="287"/>
      <c r="M100" s="287"/>
      <c r="N100" s="287"/>
      <c r="O100" s="288"/>
      <c r="P100" s="287"/>
      <c r="Q100" s="287">
        <f t="shared" si="37"/>
        <v>0</v>
      </c>
      <c r="R100" s="287">
        <f t="shared" si="38"/>
        <v>0</v>
      </c>
      <c r="S100" s="287">
        <f t="shared" si="39"/>
        <v>0</v>
      </c>
      <c r="T100" s="287">
        <f t="shared" si="40"/>
        <v>0</v>
      </c>
      <c r="U100" s="287">
        <f t="shared" si="41"/>
        <v>0</v>
      </c>
      <c r="V100" s="287">
        <f t="shared" si="42"/>
        <v>0</v>
      </c>
    </row>
    <row r="101" spans="1:22" ht="19.5">
      <c r="A101" s="483" t="s">
        <v>271</v>
      </c>
      <c r="B101" s="483"/>
      <c r="C101" s="483"/>
      <c r="D101" s="483"/>
      <c r="E101" s="478">
        <f>SUM(E102+E105)</f>
        <v>0</v>
      </c>
      <c r="F101" s="478">
        <f aca="true" t="shared" si="51" ref="F101:P101">SUM(F102+F105)</f>
        <v>0</v>
      </c>
      <c r="G101" s="478">
        <f t="shared" si="51"/>
        <v>0</v>
      </c>
      <c r="H101" s="478">
        <f t="shared" si="51"/>
        <v>0</v>
      </c>
      <c r="I101" s="478">
        <f t="shared" si="51"/>
        <v>0</v>
      </c>
      <c r="J101" s="478">
        <f t="shared" si="51"/>
        <v>0</v>
      </c>
      <c r="K101" s="478">
        <f t="shared" si="51"/>
        <v>0</v>
      </c>
      <c r="L101" s="478">
        <f t="shared" si="51"/>
        <v>0</v>
      </c>
      <c r="M101" s="478">
        <f t="shared" si="51"/>
        <v>11.5</v>
      </c>
      <c r="N101" s="478">
        <f t="shared" si="51"/>
        <v>0</v>
      </c>
      <c r="O101" s="478">
        <f t="shared" si="51"/>
        <v>17.25</v>
      </c>
      <c r="P101" s="478">
        <f t="shared" si="51"/>
        <v>17.25</v>
      </c>
      <c r="Q101" s="478">
        <f t="shared" si="37"/>
        <v>0</v>
      </c>
      <c r="R101" s="478">
        <f t="shared" si="38"/>
        <v>0</v>
      </c>
      <c r="S101" s="478">
        <f t="shared" si="39"/>
        <v>11.5</v>
      </c>
      <c r="T101" s="478">
        <f t="shared" si="40"/>
        <v>0</v>
      </c>
      <c r="U101" s="478">
        <f t="shared" si="41"/>
        <v>17.25</v>
      </c>
      <c r="V101" s="478">
        <f t="shared" si="42"/>
        <v>17.25</v>
      </c>
    </row>
    <row r="102" spans="1:22" ht="19.5">
      <c r="A102" s="373"/>
      <c r="B102" s="485" t="s">
        <v>264</v>
      </c>
      <c r="C102" s="485"/>
      <c r="D102" s="485"/>
      <c r="E102" s="287">
        <v>0</v>
      </c>
      <c r="F102" s="287">
        <v>0</v>
      </c>
      <c r="G102" s="252">
        <v>0</v>
      </c>
      <c r="H102" s="287">
        <v>0</v>
      </c>
      <c r="I102" s="288">
        <f t="shared" si="35"/>
        <v>0</v>
      </c>
      <c r="J102" s="287">
        <f>E102+I102</f>
        <v>0</v>
      </c>
      <c r="K102" s="287">
        <v>0</v>
      </c>
      <c r="L102" s="287">
        <v>0</v>
      </c>
      <c r="M102" s="287">
        <v>6.5</v>
      </c>
      <c r="N102" s="287">
        <v>0</v>
      </c>
      <c r="O102" s="288">
        <f>SUM(L102:N102)*1.5</f>
        <v>9.75</v>
      </c>
      <c r="P102" s="287">
        <f>K102+O102</f>
        <v>9.75</v>
      </c>
      <c r="Q102" s="287">
        <f t="shared" si="37"/>
        <v>0</v>
      </c>
      <c r="R102" s="287">
        <f t="shared" si="38"/>
        <v>0</v>
      </c>
      <c r="S102" s="287">
        <f t="shared" si="39"/>
        <v>6.5</v>
      </c>
      <c r="T102" s="287">
        <f t="shared" si="40"/>
        <v>0</v>
      </c>
      <c r="U102" s="287">
        <f t="shared" si="41"/>
        <v>9.75</v>
      </c>
      <c r="V102" s="287">
        <f t="shared" si="42"/>
        <v>9.75</v>
      </c>
    </row>
    <row r="103" spans="1:22" ht="19.5">
      <c r="A103" s="486"/>
      <c r="B103" s="22"/>
      <c r="C103" s="22"/>
      <c r="D103" s="22" t="s">
        <v>197</v>
      </c>
      <c r="E103" s="315">
        <v>0</v>
      </c>
      <c r="F103" s="315">
        <v>0</v>
      </c>
      <c r="G103" s="103">
        <v>0</v>
      </c>
      <c r="H103" s="315">
        <v>0</v>
      </c>
      <c r="I103" s="316">
        <f t="shared" si="35"/>
        <v>0</v>
      </c>
      <c r="J103" s="315">
        <f>E103+I103</f>
        <v>0</v>
      </c>
      <c r="K103" s="315">
        <v>0</v>
      </c>
      <c r="L103" s="315">
        <v>0</v>
      </c>
      <c r="M103" s="315">
        <v>0</v>
      </c>
      <c r="N103" s="315">
        <v>0</v>
      </c>
      <c r="O103" s="316">
        <f>SUM(L103:N103)*1.5</f>
        <v>0</v>
      </c>
      <c r="P103" s="315">
        <f>K103+O103</f>
        <v>0</v>
      </c>
      <c r="Q103" s="315">
        <f t="shared" si="37"/>
        <v>0</v>
      </c>
      <c r="R103" s="315">
        <f t="shared" si="38"/>
        <v>0</v>
      </c>
      <c r="S103" s="315">
        <f t="shared" si="39"/>
        <v>0</v>
      </c>
      <c r="T103" s="315">
        <f t="shared" si="40"/>
        <v>0</v>
      </c>
      <c r="U103" s="315">
        <f t="shared" si="41"/>
        <v>0</v>
      </c>
      <c r="V103" s="315">
        <f t="shared" si="42"/>
        <v>0</v>
      </c>
    </row>
    <row r="104" spans="1:22" ht="19.5">
      <c r="A104" s="486"/>
      <c r="B104" s="22"/>
      <c r="C104" s="22"/>
      <c r="D104" s="22" t="s">
        <v>312</v>
      </c>
      <c r="E104" s="315">
        <v>0</v>
      </c>
      <c r="F104" s="315">
        <v>0</v>
      </c>
      <c r="G104" s="103">
        <v>0</v>
      </c>
      <c r="H104" s="315">
        <v>0</v>
      </c>
      <c r="I104" s="316">
        <f t="shared" si="35"/>
        <v>0</v>
      </c>
      <c r="J104" s="315">
        <f>E104+I104</f>
        <v>0</v>
      </c>
      <c r="K104" s="315">
        <v>0</v>
      </c>
      <c r="L104" s="315">
        <v>0</v>
      </c>
      <c r="M104" s="315">
        <v>0</v>
      </c>
      <c r="N104" s="315">
        <v>0</v>
      </c>
      <c r="O104" s="316">
        <f>SUM(L104:N104)*1.5</f>
        <v>0</v>
      </c>
      <c r="P104" s="315">
        <f>K104+O104</f>
        <v>0</v>
      </c>
      <c r="Q104" s="315">
        <f t="shared" si="37"/>
        <v>0</v>
      </c>
      <c r="R104" s="315">
        <f t="shared" si="38"/>
        <v>0</v>
      </c>
      <c r="S104" s="315">
        <f t="shared" si="39"/>
        <v>0</v>
      </c>
      <c r="T104" s="315">
        <f t="shared" si="40"/>
        <v>0</v>
      </c>
      <c r="U104" s="315">
        <f t="shared" si="41"/>
        <v>0</v>
      </c>
      <c r="V104" s="315">
        <f t="shared" si="42"/>
        <v>0</v>
      </c>
    </row>
    <row r="105" spans="1:22" ht="19.5">
      <c r="A105" s="373"/>
      <c r="B105" s="485" t="s">
        <v>265</v>
      </c>
      <c r="C105" s="485"/>
      <c r="D105" s="485"/>
      <c r="E105" s="287">
        <v>0</v>
      </c>
      <c r="F105" s="287">
        <v>0</v>
      </c>
      <c r="G105" s="252">
        <v>0</v>
      </c>
      <c r="H105" s="287">
        <v>0</v>
      </c>
      <c r="I105" s="288">
        <f t="shared" si="35"/>
        <v>0</v>
      </c>
      <c r="J105" s="287">
        <f>E105+I105</f>
        <v>0</v>
      </c>
      <c r="K105" s="287">
        <v>0</v>
      </c>
      <c r="L105" s="287">
        <v>0</v>
      </c>
      <c r="M105" s="287">
        <v>5</v>
      </c>
      <c r="N105" s="287">
        <v>0</v>
      </c>
      <c r="O105" s="288">
        <f>SUM(L105:N105)*1.5</f>
        <v>7.5</v>
      </c>
      <c r="P105" s="287">
        <f>K105+O105</f>
        <v>7.5</v>
      </c>
      <c r="Q105" s="287">
        <f t="shared" si="37"/>
        <v>0</v>
      </c>
      <c r="R105" s="287">
        <f t="shared" si="38"/>
        <v>0</v>
      </c>
      <c r="S105" s="287">
        <f t="shared" si="39"/>
        <v>5</v>
      </c>
      <c r="T105" s="287">
        <f t="shared" si="40"/>
        <v>0</v>
      </c>
      <c r="U105" s="287">
        <f t="shared" si="41"/>
        <v>7.5</v>
      </c>
      <c r="V105" s="287">
        <f t="shared" si="42"/>
        <v>7.5</v>
      </c>
    </row>
    <row r="106" spans="1:22" ht="19.5">
      <c r="A106" s="486"/>
      <c r="B106" s="22"/>
      <c r="C106" s="22"/>
      <c r="D106" s="22" t="s">
        <v>197</v>
      </c>
      <c r="E106" s="315">
        <v>0</v>
      </c>
      <c r="F106" s="315">
        <v>0</v>
      </c>
      <c r="G106" s="315">
        <v>0</v>
      </c>
      <c r="H106" s="315">
        <v>0</v>
      </c>
      <c r="I106" s="316">
        <f t="shared" si="35"/>
        <v>0</v>
      </c>
      <c r="J106" s="315">
        <f>E106+I106</f>
        <v>0</v>
      </c>
      <c r="K106" s="315">
        <v>0</v>
      </c>
      <c r="L106" s="315">
        <v>0</v>
      </c>
      <c r="M106" s="315">
        <v>5</v>
      </c>
      <c r="N106" s="315">
        <v>0</v>
      </c>
      <c r="O106" s="316">
        <f>SUM(L106:N106)*1.5</f>
        <v>7.5</v>
      </c>
      <c r="P106" s="315">
        <f>K106+O106</f>
        <v>7.5</v>
      </c>
      <c r="Q106" s="315">
        <f t="shared" si="37"/>
        <v>0</v>
      </c>
      <c r="R106" s="315">
        <f t="shared" si="38"/>
        <v>0</v>
      </c>
      <c r="S106" s="315">
        <f t="shared" si="39"/>
        <v>5</v>
      </c>
      <c r="T106" s="315">
        <f t="shared" si="40"/>
        <v>0</v>
      </c>
      <c r="U106" s="315">
        <f t="shared" si="41"/>
        <v>7.5</v>
      </c>
      <c r="V106" s="315">
        <f t="shared" si="42"/>
        <v>7.5</v>
      </c>
    </row>
    <row r="107" spans="1:22" ht="19.5">
      <c r="A107" s="483" t="s">
        <v>272</v>
      </c>
      <c r="B107" s="483"/>
      <c r="C107" s="483"/>
      <c r="D107" s="483"/>
      <c r="E107" s="479">
        <f>SUM(E108+E112+E115+E120+E126+E129)</f>
        <v>173.99999999999994</v>
      </c>
      <c r="F107" s="479">
        <f aca="true" t="shared" si="52" ref="F107:P107">SUM(F108+F112+F115+F120+F126+F129)</f>
        <v>0</v>
      </c>
      <c r="G107" s="479">
        <f t="shared" si="52"/>
        <v>0</v>
      </c>
      <c r="H107" s="479">
        <f t="shared" si="52"/>
        <v>0</v>
      </c>
      <c r="I107" s="479">
        <f t="shared" si="52"/>
        <v>0</v>
      </c>
      <c r="J107" s="479">
        <f t="shared" si="52"/>
        <v>173.99999999999994</v>
      </c>
      <c r="K107" s="479">
        <f>SUM(K108+K112+K115+K120+K126+K129)</f>
        <v>0</v>
      </c>
      <c r="L107" s="479">
        <f t="shared" si="52"/>
        <v>0</v>
      </c>
      <c r="M107" s="479">
        <f t="shared" si="52"/>
        <v>0.75</v>
      </c>
      <c r="N107" s="479">
        <f t="shared" si="52"/>
        <v>0</v>
      </c>
      <c r="O107" s="479">
        <f t="shared" si="52"/>
        <v>1.875</v>
      </c>
      <c r="P107" s="479">
        <f t="shared" si="52"/>
        <v>1.875</v>
      </c>
      <c r="Q107" s="479">
        <f t="shared" si="37"/>
        <v>173.99999999999994</v>
      </c>
      <c r="R107" s="479">
        <f t="shared" si="38"/>
        <v>0</v>
      </c>
      <c r="S107" s="479">
        <f t="shared" si="39"/>
        <v>0.75</v>
      </c>
      <c r="T107" s="479">
        <f t="shared" si="40"/>
        <v>0</v>
      </c>
      <c r="U107" s="479">
        <f t="shared" si="41"/>
        <v>1.875</v>
      </c>
      <c r="V107" s="479">
        <f t="shared" si="42"/>
        <v>175.87499999999994</v>
      </c>
    </row>
    <row r="108" spans="1:22" ht="19.5">
      <c r="A108" s="373"/>
      <c r="B108" s="504" t="s">
        <v>263</v>
      </c>
      <c r="C108" s="485"/>
      <c r="D108" s="485"/>
      <c r="E108" s="288">
        <f>SUM(E109:E110)</f>
        <v>162.98999999999998</v>
      </c>
      <c r="F108" s="288">
        <f aca="true" t="shared" si="53" ref="F108:P108">SUM(F109:F110)</f>
        <v>0</v>
      </c>
      <c r="G108" s="288">
        <f t="shared" si="53"/>
        <v>0</v>
      </c>
      <c r="H108" s="288">
        <f t="shared" si="53"/>
        <v>0</v>
      </c>
      <c r="I108" s="288">
        <f t="shared" si="53"/>
        <v>0</v>
      </c>
      <c r="J108" s="288">
        <f t="shared" si="53"/>
        <v>162.98999999999998</v>
      </c>
      <c r="K108" s="288">
        <f>SUM(K109:K110)</f>
        <v>0</v>
      </c>
      <c r="L108" s="288">
        <f t="shared" si="53"/>
        <v>0</v>
      </c>
      <c r="M108" s="288">
        <f t="shared" si="53"/>
        <v>0</v>
      </c>
      <c r="N108" s="288">
        <f t="shared" si="53"/>
        <v>0</v>
      </c>
      <c r="O108" s="288">
        <f t="shared" si="53"/>
        <v>0</v>
      </c>
      <c r="P108" s="288">
        <f t="shared" si="53"/>
        <v>0</v>
      </c>
      <c r="Q108" s="288">
        <f t="shared" si="37"/>
        <v>162.98999999999998</v>
      </c>
      <c r="R108" s="288">
        <f t="shared" si="38"/>
        <v>0</v>
      </c>
      <c r="S108" s="288">
        <f t="shared" si="39"/>
        <v>0</v>
      </c>
      <c r="T108" s="288">
        <f t="shared" si="40"/>
        <v>0</v>
      </c>
      <c r="U108" s="288">
        <f t="shared" si="41"/>
        <v>0</v>
      </c>
      <c r="V108" s="288">
        <f t="shared" si="42"/>
        <v>162.98999999999998</v>
      </c>
    </row>
    <row r="109" spans="1:22" ht="19.5">
      <c r="A109" s="373"/>
      <c r="B109" s="485"/>
      <c r="C109" s="485"/>
      <c r="D109" s="485" t="s">
        <v>216</v>
      </c>
      <c r="E109" s="290">
        <f>95.35+66.48</f>
        <v>161.82999999999998</v>
      </c>
      <c r="F109" s="19">
        <v>0</v>
      </c>
      <c r="G109" s="19">
        <v>0</v>
      </c>
      <c r="H109" s="287">
        <v>0</v>
      </c>
      <c r="I109" s="288">
        <f>SUM(F109:H109)*2.5</f>
        <v>0</v>
      </c>
      <c r="J109" s="288">
        <f>E109+I109</f>
        <v>161.82999999999998</v>
      </c>
      <c r="K109" s="287">
        <v>0</v>
      </c>
      <c r="L109" s="287">
        <v>0</v>
      </c>
      <c r="M109" s="287">
        <v>0</v>
      </c>
      <c r="N109" s="287">
        <v>0</v>
      </c>
      <c r="O109" s="288">
        <f>SUM(L109:N109)*2.5</f>
        <v>0</v>
      </c>
      <c r="P109" s="288">
        <f>K109+O109</f>
        <v>0</v>
      </c>
      <c r="Q109" s="288">
        <f t="shared" si="37"/>
        <v>161.82999999999998</v>
      </c>
      <c r="R109" s="288">
        <f t="shared" si="38"/>
        <v>0</v>
      </c>
      <c r="S109" s="288">
        <f t="shared" si="39"/>
        <v>0</v>
      </c>
      <c r="T109" s="288">
        <f t="shared" si="40"/>
        <v>0</v>
      </c>
      <c r="U109" s="288">
        <f t="shared" si="41"/>
        <v>0</v>
      </c>
      <c r="V109" s="288">
        <f t="shared" si="42"/>
        <v>161.82999999999998</v>
      </c>
    </row>
    <row r="110" spans="1:22" ht="19.5">
      <c r="A110" s="373"/>
      <c r="B110" s="485"/>
      <c r="C110" s="485"/>
      <c r="D110" s="485" t="s">
        <v>217</v>
      </c>
      <c r="E110" s="290">
        <f>0.33+0.33+0.5</f>
        <v>1.1600000000000001</v>
      </c>
      <c r="F110" s="287">
        <v>0</v>
      </c>
      <c r="G110" s="287">
        <v>0</v>
      </c>
      <c r="H110" s="287">
        <v>0</v>
      </c>
      <c r="I110" s="288">
        <f>SUM(F110:H110)*2.5</f>
        <v>0</v>
      </c>
      <c r="J110" s="288">
        <f>E110+I110</f>
        <v>1.1600000000000001</v>
      </c>
      <c r="K110" s="287">
        <v>0</v>
      </c>
      <c r="L110" s="287">
        <v>0</v>
      </c>
      <c r="M110" s="287">
        <v>0</v>
      </c>
      <c r="N110" s="287">
        <v>0</v>
      </c>
      <c r="O110" s="288">
        <f>SUM(L110:N110)*2.5</f>
        <v>0</v>
      </c>
      <c r="P110" s="288">
        <f>K110+O110</f>
        <v>0</v>
      </c>
      <c r="Q110" s="288">
        <f t="shared" si="37"/>
        <v>1.1600000000000001</v>
      </c>
      <c r="R110" s="288">
        <f t="shared" si="38"/>
        <v>0</v>
      </c>
      <c r="S110" s="288">
        <f t="shared" si="39"/>
        <v>0</v>
      </c>
      <c r="T110" s="288">
        <f t="shared" si="40"/>
        <v>0</v>
      </c>
      <c r="U110" s="288">
        <f t="shared" si="41"/>
        <v>0</v>
      </c>
      <c r="V110" s="288">
        <f t="shared" si="42"/>
        <v>1.1600000000000001</v>
      </c>
    </row>
    <row r="111" spans="1:22" ht="19.5">
      <c r="A111" s="486"/>
      <c r="B111" s="22"/>
      <c r="C111" s="22"/>
      <c r="D111" s="22" t="s">
        <v>197</v>
      </c>
      <c r="E111" s="315">
        <v>0</v>
      </c>
      <c r="F111" s="315">
        <v>0</v>
      </c>
      <c r="G111" s="23"/>
      <c r="H111" s="315">
        <v>0</v>
      </c>
      <c r="I111" s="316">
        <f>SUM(F111:H111)*2.5</f>
        <v>0</v>
      </c>
      <c r="J111" s="316">
        <f>E111+I111</f>
        <v>0</v>
      </c>
      <c r="K111" s="315">
        <v>0</v>
      </c>
      <c r="L111" s="315">
        <v>0</v>
      </c>
      <c r="M111" s="315"/>
      <c r="N111" s="315">
        <v>0</v>
      </c>
      <c r="O111" s="316">
        <f>SUM(L111:N111)*2.5</f>
        <v>0</v>
      </c>
      <c r="P111" s="316">
        <f>K111+O111</f>
        <v>0</v>
      </c>
      <c r="Q111" s="316">
        <f t="shared" si="37"/>
        <v>0</v>
      </c>
      <c r="R111" s="316">
        <f t="shared" si="38"/>
        <v>0</v>
      </c>
      <c r="S111" s="316">
        <f t="shared" si="39"/>
        <v>0</v>
      </c>
      <c r="T111" s="316">
        <f t="shared" si="40"/>
        <v>0</v>
      </c>
      <c r="U111" s="316">
        <f t="shared" si="41"/>
        <v>0</v>
      </c>
      <c r="V111" s="316">
        <f t="shared" si="42"/>
        <v>0</v>
      </c>
    </row>
    <row r="112" spans="1:22" ht="19.5">
      <c r="A112" s="373"/>
      <c r="B112" s="504" t="s">
        <v>219</v>
      </c>
      <c r="C112" s="485"/>
      <c r="D112" s="485"/>
      <c r="E112" s="287">
        <f aca="true" t="shared" si="54" ref="E112:J112">SUM(E113:E114)</f>
        <v>0</v>
      </c>
      <c r="F112" s="287">
        <f t="shared" si="54"/>
        <v>0</v>
      </c>
      <c r="G112" s="287">
        <f t="shared" si="54"/>
        <v>0</v>
      </c>
      <c r="H112" s="287">
        <f t="shared" si="54"/>
        <v>0</v>
      </c>
      <c r="I112" s="287">
        <f t="shared" si="54"/>
        <v>0</v>
      </c>
      <c r="J112" s="287">
        <f t="shared" si="54"/>
        <v>0</v>
      </c>
      <c r="K112" s="287">
        <f aca="true" t="shared" si="55" ref="K112:P112">SUM(K113:K114)</f>
        <v>0</v>
      </c>
      <c r="L112" s="287">
        <f t="shared" si="55"/>
        <v>0</v>
      </c>
      <c r="M112" s="287">
        <f t="shared" si="55"/>
        <v>0</v>
      </c>
      <c r="N112" s="287">
        <f t="shared" si="55"/>
        <v>0</v>
      </c>
      <c r="O112" s="287">
        <f t="shared" si="55"/>
        <v>0</v>
      </c>
      <c r="P112" s="287">
        <f t="shared" si="55"/>
        <v>0</v>
      </c>
      <c r="Q112" s="287">
        <f t="shared" si="37"/>
        <v>0</v>
      </c>
      <c r="R112" s="287">
        <f t="shared" si="38"/>
        <v>0</v>
      </c>
      <c r="S112" s="287">
        <f t="shared" si="39"/>
        <v>0</v>
      </c>
      <c r="T112" s="287">
        <f t="shared" si="40"/>
        <v>0</v>
      </c>
      <c r="U112" s="287">
        <f t="shared" si="41"/>
        <v>0</v>
      </c>
      <c r="V112" s="287">
        <f t="shared" si="42"/>
        <v>0</v>
      </c>
    </row>
    <row r="113" spans="1:22" ht="19.5">
      <c r="A113" s="373"/>
      <c r="B113" s="485"/>
      <c r="C113" s="485"/>
      <c r="D113" s="485" t="s">
        <v>222</v>
      </c>
      <c r="E113" s="290">
        <v>0</v>
      </c>
      <c r="F113" s="287">
        <v>0</v>
      </c>
      <c r="G113" s="287">
        <v>0</v>
      </c>
      <c r="H113" s="287">
        <v>0</v>
      </c>
      <c r="I113" s="288">
        <f>SUM(F113:H113)*2.5</f>
        <v>0</v>
      </c>
      <c r="J113" s="288">
        <f>E113+I113</f>
        <v>0</v>
      </c>
      <c r="K113" s="287">
        <v>0</v>
      </c>
      <c r="L113" s="287">
        <v>0</v>
      </c>
      <c r="M113" s="287">
        <v>0</v>
      </c>
      <c r="N113" s="287">
        <v>0</v>
      </c>
      <c r="O113" s="288">
        <f>SUM(L113:N113)*2.5</f>
        <v>0</v>
      </c>
      <c r="P113" s="288">
        <f>K113+O113</f>
        <v>0</v>
      </c>
      <c r="Q113" s="288">
        <f t="shared" si="37"/>
        <v>0</v>
      </c>
      <c r="R113" s="288">
        <f t="shared" si="38"/>
        <v>0</v>
      </c>
      <c r="S113" s="288">
        <f t="shared" si="39"/>
        <v>0</v>
      </c>
      <c r="T113" s="288">
        <f t="shared" si="40"/>
        <v>0</v>
      </c>
      <c r="U113" s="288">
        <f t="shared" si="41"/>
        <v>0</v>
      </c>
      <c r="V113" s="288">
        <f t="shared" si="42"/>
        <v>0</v>
      </c>
    </row>
    <row r="114" spans="1:22" ht="19.5">
      <c r="A114" s="373"/>
      <c r="B114" s="485"/>
      <c r="C114" s="485"/>
      <c r="D114" s="485" t="s">
        <v>223</v>
      </c>
      <c r="E114" s="290">
        <v>0</v>
      </c>
      <c r="F114" s="287">
        <v>0</v>
      </c>
      <c r="G114" s="287">
        <v>0</v>
      </c>
      <c r="H114" s="287">
        <v>0</v>
      </c>
      <c r="I114" s="288">
        <f>SUM(F114:H114)*2.5</f>
        <v>0</v>
      </c>
      <c r="J114" s="288">
        <f>E114+I114</f>
        <v>0</v>
      </c>
      <c r="K114" s="287">
        <v>0</v>
      </c>
      <c r="L114" s="287">
        <v>0</v>
      </c>
      <c r="M114" s="287">
        <v>0</v>
      </c>
      <c r="N114" s="287">
        <v>0</v>
      </c>
      <c r="O114" s="288">
        <f>SUM(L114:N114)*2.5</f>
        <v>0</v>
      </c>
      <c r="P114" s="288">
        <f>K114+O114</f>
        <v>0</v>
      </c>
      <c r="Q114" s="288">
        <f t="shared" si="37"/>
        <v>0</v>
      </c>
      <c r="R114" s="288">
        <f t="shared" si="38"/>
        <v>0</v>
      </c>
      <c r="S114" s="288">
        <f t="shared" si="39"/>
        <v>0</v>
      </c>
      <c r="T114" s="288">
        <f t="shared" si="40"/>
        <v>0</v>
      </c>
      <c r="U114" s="288">
        <f t="shared" si="41"/>
        <v>0</v>
      </c>
      <c r="V114" s="288">
        <f t="shared" si="42"/>
        <v>0</v>
      </c>
    </row>
    <row r="115" spans="1:22" ht="19.5">
      <c r="A115" s="373"/>
      <c r="B115" s="504" t="s">
        <v>218</v>
      </c>
      <c r="C115" s="485"/>
      <c r="D115" s="485"/>
      <c r="E115" s="288">
        <f aca="true" t="shared" si="56" ref="E115:J115">SUM(E116:E118)</f>
        <v>10.17</v>
      </c>
      <c r="F115" s="288">
        <f t="shared" si="56"/>
        <v>0</v>
      </c>
      <c r="G115" s="288">
        <f t="shared" si="56"/>
        <v>0</v>
      </c>
      <c r="H115" s="288">
        <f t="shared" si="56"/>
        <v>0</v>
      </c>
      <c r="I115" s="288">
        <f t="shared" si="56"/>
        <v>0</v>
      </c>
      <c r="J115" s="288">
        <f t="shared" si="56"/>
        <v>10.17</v>
      </c>
      <c r="K115" s="288">
        <f aca="true" t="shared" si="57" ref="K115:P115">SUM(K116+K118)</f>
        <v>0</v>
      </c>
      <c r="L115" s="288">
        <f t="shared" si="57"/>
        <v>0</v>
      </c>
      <c r="M115" s="288">
        <f t="shared" si="57"/>
        <v>0</v>
      </c>
      <c r="N115" s="288">
        <f t="shared" si="57"/>
        <v>0</v>
      </c>
      <c r="O115" s="288">
        <f t="shared" si="57"/>
        <v>0</v>
      </c>
      <c r="P115" s="288">
        <f t="shared" si="57"/>
        <v>0</v>
      </c>
      <c r="Q115" s="288">
        <f t="shared" si="37"/>
        <v>10.17</v>
      </c>
      <c r="R115" s="288">
        <f t="shared" si="38"/>
        <v>0</v>
      </c>
      <c r="S115" s="288">
        <f t="shared" si="39"/>
        <v>0</v>
      </c>
      <c r="T115" s="288">
        <f t="shared" si="40"/>
        <v>0</v>
      </c>
      <c r="U115" s="288">
        <f t="shared" si="41"/>
        <v>0</v>
      </c>
      <c r="V115" s="288">
        <f t="shared" si="42"/>
        <v>10.17</v>
      </c>
    </row>
    <row r="116" spans="1:22" ht="19.5">
      <c r="A116" s="373"/>
      <c r="B116" s="485"/>
      <c r="C116" s="485"/>
      <c r="D116" s="485" t="s">
        <v>220</v>
      </c>
      <c r="E116" s="290">
        <f>10+0.17</f>
        <v>10.17</v>
      </c>
      <c r="F116" s="19">
        <v>0</v>
      </c>
      <c r="G116" s="19">
        <v>0</v>
      </c>
      <c r="H116" s="287">
        <v>0</v>
      </c>
      <c r="I116" s="288">
        <f>SUM(F116:H116)*2.5</f>
        <v>0</v>
      </c>
      <c r="J116" s="288">
        <f>E116+I116</f>
        <v>10.17</v>
      </c>
      <c r="K116" s="287">
        <v>0</v>
      </c>
      <c r="L116" s="287">
        <v>0</v>
      </c>
      <c r="M116" s="287">
        <v>0</v>
      </c>
      <c r="N116" s="287">
        <v>0</v>
      </c>
      <c r="O116" s="288">
        <f>SUM(L116:N116)*2.5</f>
        <v>0</v>
      </c>
      <c r="P116" s="288">
        <f>K116+O116</f>
        <v>0</v>
      </c>
      <c r="Q116" s="288">
        <f t="shared" si="37"/>
        <v>10.17</v>
      </c>
      <c r="R116" s="288">
        <f t="shared" si="38"/>
        <v>0</v>
      </c>
      <c r="S116" s="288">
        <f t="shared" si="39"/>
        <v>0</v>
      </c>
      <c r="T116" s="288">
        <f t="shared" si="40"/>
        <v>0</v>
      </c>
      <c r="U116" s="288">
        <f t="shared" si="41"/>
        <v>0</v>
      </c>
      <c r="V116" s="288">
        <f t="shared" si="42"/>
        <v>10.17</v>
      </c>
    </row>
    <row r="117" spans="1:22" ht="19.5">
      <c r="A117" s="486"/>
      <c r="B117" s="22"/>
      <c r="C117" s="22"/>
      <c r="D117" s="22" t="s">
        <v>197</v>
      </c>
      <c r="E117" s="315">
        <v>0</v>
      </c>
      <c r="F117" s="315">
        <v>0</v>
      </c>
      <c r="G117" s="23">
        <v>0</v>
      </c>
      <c r="H117" s="315">
        <v>0</v>
      </c>
      <c r="I117" s="316">
        <f>SUM(F117:H117)*2.5</f>
        <v>0</v>
      </c>
      <c r="J117" s="316">
        <f>E117+I117</f>
        <v>0</v>
      </c>
      <c r="K117" s="315">
        <v>0</v>
      </c>
      <c r="L117" s="315">
        <v>0</v>
      </c>
      <c r="M117" s="315">
        <v>0</v>
      </c>
      <c r="N117" s="315">
        <v>0</v>
      </c>
      <c r="O117" s="316">
        <f>SUM(L117:N117)*2.5</f>
        <v>0</v>
      </c>
      <c r="P117" s="316">
        <f>K117+O117</f>
        <v>0</v>
      </c>
      <c r="Q117" s="316">
        <f t="shared" si="37"/>
        <v>0</v>
      </c>
      <c r="R117" s="316">
        <f t="shared" si="38"/>
        <v>0</v>
      </c>
      <c r="S117" s="316">
        <f t="shared" si="39"/>
        <v>0</v>
      </c>
      <c r="T117" s="316">
        <f t="shared" si="40"/>
        <v>0</v>
      </c>
      <c r="U117" s="316">
        <f t="shared" si="41"/>
        <v>0</v>
      </c>
      <c r="V117" s="316">
        <f t="shared" si="42"/>
        <v>0</v>
      </c>
    </row>
    <row r="118" spans="1:22" ht="19.5">
      <c r="A118" s="373"/>
      <c r="B118" s="485"/>
      <c r="C118" s="485"/>
      <c r="D118" s="485" t="s">
        <v>221</v>
      </c>
      <c r="E118" s="290">
        <v>0</v>
      </c>
      <c r="F118" s="287">
        <v>0</v>
      </c>
      <c r="G118" s="287">
        <v>0</v>
      </c>
      <c r="H118" s="287">
        <v>0</v>
      </c>
      <c r="I118" s="288">
        <f>SUM(F118:H118)*2.5</f>
        <v>0</v>
      </c>
      <c r="J118" s="288">
        <f>E118+I118</f>
        <v>0</v>
      </c>
      <c r="K118" s="287">
        <v>0</v>
      </c>
      <c r="L118" s="287">
        <v>0</v>
      </c>
      <c r="M118" s="287">
        <v>0</v>
      </c>
      <c r="N118" s="287">
        <v>0</v>
      </c>
      <c r="O118" s="288">
        <f>SUM(L118:N118)*2.5</f>
        <v>0</v>
      </c>
      <c r="P118" s="288">
        <f>K118+O118</f>
        <v>0</v>
      </c>
      <c r="Q118" s="288">
        <f t="shared" si="37"/>
        <v>0</v>
      </c>
      <c r="R118" s="288">
        <f t="shared" si="38"/>
        <v>0</v>
      </c>
      <c r="S118" s="288">
        <f t="shared" si="39"/>
        <v>0</v>
      </c>
      <c r="T118" s="288">
        <f t="shared" si="40"/>
        <v>0</v>
      </c>
      <c r="U118" s="288">
        <f t="shared" si="41"/>
        <v>0</v>
      </c>
      <c r="V118" s="288">
        <f t="shared" si="42"/>
        <v>0</v>
      </c>
    </row>
    <row r="119" spans="1:22" ht="19.5">
      <c r="A119" s="486"/>
      <c r="B119" s="22"/>
      <c r="C119" s="22"/>
      <c r="D119" s="22" t="s">
        <v>197</v>
      </c>
      <c r="E119" s="315">
        <v>0</v>
      </c>
      <c r="F119" s="315">
        <v>0</v>
      </c>
      <c r="G119" s="23"/>
      <c r="H119" s="315"/>
      <c r="I119" s="316">
        <f>SUM(F119:H119)*2.5</f>
        <v>0</v>
      </c>
      <c r="J119" s="316">
        <f>E119+I119</f>
        <v>0</v>
      </c>
      <c r="K119" s="315">
        <v>0</v>
      </c>
      <c r="L119" s="315">
        <v>0</v>
      </c>
      <c r="M119" s="315"/>
      <c r="N119" s="315">
        <v>0</v>
      </c>
      <c r="O119" s="316">
        <f>SUM(L119:N119)*2.5</f>
        <v>0</v>
      </c>
      <c r="P119" s="316">
        <f>K119+O119</f>
        <v>0</v>
      </c>
      <c r="Q119" s="316">
        <f t="shared" si="37"/>
        <v>0</v>
      </c>
      <c r="R119" s="316">
        <f t="shared" si="38"/>
        <v>0</v>
      </c>
      <c r="S119" s="316">
        <f t="shared" si="39"/>
        <v>0</v>
      </c>
      <c r="T119" s="316">
        <f t="shared" si="40"/>
        <v>0</v>
      </c>
      <c r="U119" s="316">
        <f t="shared" si="41"/>
        <v>0</v>
      </c>
      <c r="V119" s="316">
        <f t="shared" si="42"/>
        <v>0</v>
      </c>
    </row>
    <row r="120" spans="1:22" ht="19.5">
      <c r="A120" s="373"/>
      <c r="B120" s="504" t="s">
        <v>178</v>
      </c>
      <c r="C120" s="485"/>
      <c r="D120" s="485"/>
      <c r="E120" s="288">
        <f>SUM(E121+E123+E124)</f>
        <v>0.67</v>
      </c>
      <c r="F120" s="288">
        <f aca="true" t="shared" si="58" ref="F120:P120">SUM(F121+F123+F124)</f>
        <v>0</v>
      </c>
      <c r="G120" s="288">
        <f t="shared" si="58"/>
        <v>0</v>
      </c>
      <c r="H120" s="288">
        <f t="shared" si="58"/>
        <v>0</v>
      </c>
      <c r="I120" s="288">
        <f t="shared" si="58"/>
        <v>0</v>
      </c>
      <c r="J120" s="288">
        <f t="shared" si="58"/>
        <v>0.67</v>
      </c>
      <c r="K120" s="288">
        <f>SUM(K121+K123+K124)</f>
        <v>0</v>
      </c>
      <c r="L120" s="288">
        <f t="shared" si="58"/>
        <v>0</v>
      </c>
      <c r="M120" s="288">
        <f>SUM(M121+M123+M124)</f>
        <v>0.75</v>
      </c>
      <c r="N120" s="288">
        <f t="shared" si="58"/>
        <v>0</v>
      </c>
      <c r="O120" s="288">
        <f t="shared" si="58"/>
        <v>1.875</v>
      </c>
      <c r="P120" s="288">
        <f t="shared" si="58"/>
        <v>1.875</v>
      </c>
      <c r="Q120" s="288">
        <f t="shared" si="37"/>
        <v>0.67</v>
      </c>
      <c r="R120" s="288">
        <f t="shared" si="38"/>
        <v>0</v>
      </c>
      <c r="S120" s="288">
        <f t="shared" si="39"/>
        <v>0.75</v>
      </c>
      <c r="T120" s="288">
        <f t="shared" si="40"/>
        <v>0</v>
      </c>
      <c r="U120" s="288">
        <f t="shared" si="41"/>
        <v>1.875</v>
      </c>
      <c r="V120" s="288">
        <f t="shared" si="42"/>
        <v>2.545</v>
      </c>
    </row>
    <row r="121" spans="1:22" ht="19.5">
      <c r="A121" s="373"/>
      <c r="B121" s="485"/>
      <c r="C121" s="485"/>
      <c r="D121" s="485" t="s">
        <v>224</v>
      </c>
      <c r="E121" s="290">
        <v>0.67</v>
      </c>
      <c r="F121" s="19">
        <v>0</v>
      </c>
      <c r="G121" s="19"/>
      <c r="H121" s="287">
        <v>0</v>
      </c>
      <c r="I121" s="288">
        <f>SUM(F121:H121)*2.5</f>
        <v>0</v>
      </c>
      <c r="J121" s="288">
        <f>E121+I121</f>
        <v>0.67</v>
      </c>
      <c r="K121" s="287">
        <v>0</v>
      </c>
      <c r="L121" s="287">
        <v>0</v>
      </c>
      <c r="M121" s="287">
        <v>0.75</v>
      </c>
      <c r="N121" s="287">
        <v>0</v>
      </c>
      <c r="O121" s="288">
        <f>SUM(L121:N121)*2.5</f>
        <v>1.875</v>
      </c>
      <c r="P121" s="288">
        <f>K121+O121</f>
        <v>1.875</v>
      </c>
      <c r="Q121" s="288">
        <f t="shared" si="37"/>
        <v>0.67</v>
      </c>
      <c r="R121" s="288">
        <f t="shared" si="38"/>
        <v>0</v>
      </c>
      <c r="S121" s="288">
        <f t="shared" si="39"/>
        <v>0.75</v>
      </c>
      <c r="T121" s="288">
        <f t="shared" si="40"/>
        <v>0</v>
      </c>
      <c r="U121" s="288">
        <f t="shared" si="41"/>
        <v>1.875</v>
      </c>
      <c r="V121" s="288">
        <f t="shared" si="42"/>
        <v>2.545</v>
      </c>
    </row>
    <row r="122" spans="1:22" ht="19.5">
      <c r="A122" s="486"/>
      <c r="B122" s="22"/>
      <c r="C122" s="22"/>
      <c r="D122" s="22" t="s">
        <v>197</v>
      </c>
      <c r="E122" s="315">
        <v>0</v>
      </c>
      <c r="F122" s="315">
        <v>0</v>
      </c>
      <c r="G122" s="23"/>
      <c r="H122" s="315">
        <v>0</v>
      </c>
      <c r="I122" s="316">
        <f>SUM(F122:H122)*2.5</f>
        <v>0</v>
      </c>
      <c r="J122" s="316">
        <f>E122+I122</f>
        <v>0</v>
      </c>
      <c r="K122" s="315">
        <v>0</v>
      </c>
      <c r="L122" s="315">
        <v>0</v>
      </c>
      <c r="M122" s="315"/>
      <c r="N122" s="315">
        <v>0</v>
      </c>
      <c r="O122" s="316">
        <f>SUM(L122:N122)*2.5</f>
        <v>0</v>
      </c>
      <c r="P122" s="316">
        <f>K122+O122</f>
        <v>0</v>
      </c>
      <c r="Q122" s="316">
        <f t="shared" si="37"/>
        <v>0</v>
      </c>
      <c r="R122" s="316">
        <f t="shared" si="38"/>
        <v>0</v>
      </c>
      <c r="S122" s="316">
        <f t="shared" si="39"/>
        <v>0</v>
      </c>
      <c r="T122" s="316">
        <f t="shared" si="40"/>
        <v>0</v>
      </c>
      <c r="U122" s="316">
        <f t="shared" si="41"/>
        <v>0</v>
      </c>
      <c r="V122" s="316">
        <f t="shared" si="42"/>
        <v>0</v>
      </c>
    </row>
    <row r="123" spans="1:22" ht="19.5">
      <c r="A123" s="373"/>
      <c r="B123" s="485"/>
      <c r="C123" s="485"/>
      <c r="D123" s="485" t="s">
        <v>225</v>
      </c>
      <c r="E123" s="287">
        <v>0</v>
      </c>
      <c r="F123" s="287">
        <v>0</v>
      </c>
      <c r="G123" s="251">
        <v>0</v>
      </c>
      <c r="H123" s="287">
        <v>0</v>
      </c>
      <c r="I123" s="288">
        <f>SUM(F123:H123)*2.5</f>
        <v>0</v>
      </c>
      <c r="J123" s="288">
        <f>E123+I123</f>
        <v>0</v>
      </c>
      <c r="K123" s="287">
        <v>0</v>
      </c>
      <c r="L123" s="287">
        <v>0</v>
      </c>
      <c r="M123" s="287"/>
      <c r="N123" s="287">
        <v>0</v>
      </c>
      <c r="O123" s="288">
        <f>SUM(L123:N123)*2.5</f>
        <v>0</v>
      </c>
      <c r="P123" s="288">
        <f>K123+O123</f>
        <v>0</v>
      </c>
      <c r="Q123" s="288">
        <f t="shared" si="37"/>
        <v>0</v>
      </c>
      <c r="R123" s="288">
        <f t="shared" si="38"/>
        <v>0</v>
      </c>
      <c r="S123" s="288">
        <f t="shared" si="39"/>
        <v>0</v>
      </c>
      <c r="T123" s="288">
        <f t="shared" si="40"/>
        <v>0</v>
      </c>
      <c r="U123" s="288">
        <f t="shared" si="41"/>
        <v>0</v>
      </c>
      <c r="V123" s="288">
        <f t="shared" si="42"/>
        <v>0</v>
      </c>
    </row>
    <row r="124" spans="1:22" ht="19.5">
      <c r="A124" s="373"/>
      <c r="B124" s="485"/>
      <c r="C124" s="485"/>
      <c r="D124" s="485" t="s">
        <v>226</v>
      </c>
      <c r="E124" s="290">
        <v>0</v>
      </c>
      <c r="F124" s="287">
        <v>0</v>
      </c>
      <c r="G124" s="287">
        <v>0</v>
      </c>
      <c r="H124" s="287">
        <v>0</v>
      </c>
      <c r="I124" s="288">
        <f>SUM(F124:H124)*2.5</f>
        <v>0</v>
      </c>
      <c r="J124" s="288">
        <f>E124+I124</f>
        <v>0</v>
      </c>
      <c r="K124" s="287">
        <v>0</v>
      </c>
      <c r="L124" s="287">
        <v>0</v>
      </c>
      <c r="M124" s="287">
        <v>0</v>
      </c>
      <c r="N124" s="287">
        <v>0</v>
      </c>
      <c r="O124" s="288">
        <f>SUM(L124:N124)*2.5</f>
        <v>0</v>
      </c>
      <c r="P124" s="288">
        <f>K124+O124</f>
        <v>0</v>
      </c>
      <c r="Q124" s="288">
        <f t="shared" si="37"/>
        <v>0</v>
      </c>
      <c r="R124" s="288">
        <f t="shared" si="38"/>
        <v>0</v>
      </c>
      <c r="S124" s="288">
        <f t="shared" si="39"/>
        <v>0</v>
      </c>
      <c r="T124" s="288">
        <f t="shared" si="40"/>
        <v>0</v>
      </c>
      <c r="U124" s="288">
        <f t="shared" si="41"/>
        <v>0</v>
      </c>
      <c r="V124" s="288">
        <f t="shared" si="42"/>
        <v>0</v>
      </c>
    </row>
    <row r="125" spans="1:22" ht="19.5">
      <c r="A125" s="486"/>
      <c r="B125" s="22"/>
      <c r="C125" s="22"/>
      <c r="D125" s="22" t="s">
        <v>197</v>
      </c>
      <c r="E125" s="315">
        <v>0</v>
      </c>
      <c r="F125" s="315">
        <v>0</v>
      </c>
      <c r="G125" s="315">
        <v>0</v>
      </c>
      <c r="H125" s="315">
        <v>0</v>
      </c>
      <c r="I125" s="316">
        <f>SUM(F125:H125)*2.5</f>
        <v>0</v>
      </c>
      <c r="J125" s="316">
        <f>E125+I125</f>
        <v>0</v>
      </c>
      <c r="K125" s="315">
        <v>0</v>
      </c>
      <c r="L125" s="315">
        <v>0</v>
      </c>
      <c r="M125" s="315">
        <v>0</v>
      </c>
      <c r="N125" s="315">
        <v>0</v>
      </c>
      <c r="O125" s="316">
        <f>SUM(L125:N125)*2.5</f>
        <v>0</v>
      </c>
      <c r="P125" s="316">
        <f>K125+O125</f>
        <v>0</v>
      </c>
      <c r="Q125" s="316">
        <f t="shared" si="37"/>
        <v>0</v>
      </c>
      <c r="R125" s="316">
        <f t="shared" si="38"/>
        <v>0</v>
      </c>
      <c r="S125" s="316">
        <f t="shared" si="39"/>
        <v>0</v>
      </c>
      <c r="T125" s="316">
        <f t="shared" si="40"/>
        <v>0</v>
      </c>
      <c r="U125" s="316">
        <f t="shared" si="41"/>
        <v>0</v>
      </c>
      <c r="V125" s="316">
        <f t="shared" si="42"/>
        <v>0</v>
      </c>
    </row>
    <row r="126" spans="1:22" ht="19.5">
      <c r="A126" s="373"/>
      <c r="B126" s="504" t="s">
        <v>227</v>
      </c>
      <c r="C126" s="485"/>
      <c r="D126" s="485"/>
      <c r="E126" s="288">
        <f>SUM(E127)</f>
        <v>0</v>
      </c>
      <c r="F126" s="288">
        <f aca="true" t="shared" si="59" ref="F126:P126">SUM(F127)</f>
        <v>0</v>
      </c>
      <c r="G126" s="288">
        <f t="shared" si="59"/>
        <v>0</v>
      </c>
      <c r="H126" s="288">
        <f t="shared" si="59"/>
        <v>0</v>
      </c>
      <c r="I126" s="288">
        <f t="shared" si="59"/>
        <v>0</v>
      </c>
      <c r="J126" s="288">
        <f t="shared" si="59"/>
        <v>0</v>
      </c>
      <c r="K126" s="288">
        <f>SUM(K127)</f>
        <v>0</v>
      </c>
      <c r="L126" s="288">
        <f t="shared" si="59"/>
        <v>0</v>
      </c>
      <c r="M126" s="288">
        <f t="shared" si="59"/>
        <v>0</v>
      </c>
      <c r="N126" s="288">
        <f t="shared" si="59"/>
        <v>0</v>
      </c>
      <c r="O126" s="288">
        <f t="shared" si="59"/>
        <v>0</v>
      </c>
      <c r="P126" s="288">
        <f t="shared" si="59"/>
        <v>0</v>
      </c>
      <c r="Q126" s="288">
        <f t="shared" si="37"/>
        <v>0</v>
      </c>
      <c r="R126" s="288">
        <f t="shared" si="38"/>
        <v>0</v>
      </c>
      <c r="S126" s="288">
        <f t="shared" si="39"/>
        <v>0</v>
      </c>
      <c r="T126" s="288">
        <f t="shared" si="40"/>
        <v>0</v>
      </c>
      <c r="U126" s="288">
        <f t="shared" si="41"/>
        <v>0</v>
      </c>
      <c r="V126" s="288">
        <f t="shared" si="42"/>
        <v>0</v>
      </c>
    </row>
    <row r="127" spans="1:22" ht="19.5">
      <c r="A127" s="373"/>
      <c r="B127" s="485"/>
      <c r="C127" s="485"/>
      <c r="D127" s="485" t="s">
        <v>228</v>
      </c>
      <c r="E127" s="290">
        <v>0</v>
      </c>
      <c r="F127" s="19">
        <v>0</v>
      </c>
      <c r="G127" s="19"/>
      <c r="H127" s="287">
        <v>0</v>
      </c>
      <c r="I127" s="288">
        <f>SUM(F127:H127)*2.5</f>
        <v>0</v>
      </c>
      <c r="J127" s="288">
        <f>E127+I127</f>
        <v>0</v>
      </c>
      <c r="K127" s="287">
        <v>0</v>
      </c>
      <c r="L127" s="287">
        <v>0</v>
      </c>
      <c r="M127" s="287"/>
      <c r="N127" s="287">
        <v>0</v>
      </c>
      <c r="O127" s="288">
        <f>SUM(L127:N127)*2.5</f>
        <v>0</v>
      </c>
      <c r="P127" s="288">
        <f>K127+O127</f>
        <v>0</v>
      </c>
      <c r="Q127" s="288">
        <f t="shared" si="37"/>
        <v>0</v>
      </c>
      <c r="R127" s="288">
        <f t="shared" si="38"/>
        <v>0</v>
      </c>
      <c r="S127" s="288">
        <f t="shared" si="39"/>
        <v>0</v>
      </c>
      <c r="T127" s="288">
        <f t="shared" si="40"/>
        <v>0</v>
      </c>
      <c r="U127" s="288">
        <f t="shared" si="41"/>
        <v>0</v>
      </c>
      <c r="V127" s="288">
        <f t="shared" si="42"/>
        <v>0</v>
      </c>
    </row>
    <row r="128" spans="1:22" ht="19.5">
      <c r="A128" s="486"/>
      <c r="B128" s="22"/>
      <c r="C128" s="22"/>
      <c r="D128" s="22" t="s">
        <v>197</v>
      </c>
      <c r="E128" s="315"/>
      <c r="F128" s="315"/>
      <c r="G128" s="23"/>
      <c r="H128" s="315"/>
      <c r="I128" s="316">
        <f>SUM(F128:H128)*2.5</f>
        <v>0</v>
      </c>
      <c r="J128" s="316">
        <f>E128+I128</f>
        <v>0</v>
      </c>
      <c r="K128" s="315"/>
      <c r="L128" s="315"/>
      <c r="M128" s="315"/>
      <c r="N128" s="315"/>
      <c r="O128" s="316">
        <f>SUM(L128:N128)*2.5</f>
        <v>0</v>
      </c>
      <c r="P128" s="316">
        <f>K128+O128</f>
        <v>0</v>
      </c>
      <c r="Q128" s="316">
        <f t="shared" si="37"/>
        <v>0</v>
      </c>
      <c r="R128" s="316">
        <f t="shared" si="38"/>
        <v>0</v>
      </c>
      <c r="S128" s="316">
        <f t="shared" si="39"/>
        <v>0</v>
      </c>
      <c r="T128" s="316">
        <f t="shared" si="40"/>
        <v>0</v>
      </c>
      <c r="U128" s="316">
        <f t="shared" si="41"/>
        <v>0</v>
      </c>
      <c r="V128" s="316">
        <f t="shared" si="42"/>
        <v>0</v>
      </c>
    </row>
    <row r="129" spans="1:22" ht="19.5">
      <c r="A129" s="373"/>
      <c r="B129" s="504" t="s">
        <v>229</v>
      </c>
      <c r="C129" s="485"/>
      <c r="D129" s="485"/>
      <c r="E129" s="287">
        <f>SUM(E130:E131)</f>
        <v>0.17</v>
      </c>
      <c r="F129" s="287">
        <f aca="true" t="shared" si="60" ref="F129:P129">SUM(F130:F131)</f>
        <v>0</v>
      </c>
      <c r="G129" s="287">
        <f t="shared" si="60"/>
        <v>0</v>
      </c>
      <c r="H129" s="287">
        <f t="shared" si="60"/>
        <v>0</v>
      </c>
      <c r="I129" s="287">
        <f t="shared" si="60"/>
        <v>0</v>
      </c>
      <c r="J129" s="287">
        <f t="shared" si="60"/>
        <v>0.17</v>
      </c>
      <c r="K129" s="287">
        <f>SUM(K130:K131)</f>
        <v>0</v>
      </c>
      <c r="L129" s="287">
        <f t="shared" si="60"/>
        <v>0</v>
      </c>
      <c r="M129" s="287">
        <f t="shared" si="60"/>
        <v>0</v>
      </c>
      <c r="N129" s="287">
        <f t="shared" si="60"/>
        <v>0</v>
      </c>
      <c r="O129" s="287">
        <f t="shared" si="60"/>
        <v>0</v>
      </c>
      <c r="P129" s="287">
        <f t="shared" si="60"/>
        <v>0</v>
      </c>
      <c r="Q129" s="287">
        <f t="shared" si="37"/>
        <v>0.17</v>
      </c>
      <c r="R129" s="287">
        <f t="shared" si="38"/>
        <v>0</v>
      </c>
      <c r="S129" s="287">
        <f t="shared" si="39"/>
        <v>0</v>
      </c>
      <c r="T129" s="287">
        <f t="shared" si="40"/>
        <v>0</v>
      </c>
      <c r="U129" s="287">
        <f t="shared" si="41"/>
        <v>0</v>
      </c>
      <c r="V129" s="287">
        <f t="shared" si="42"/>
        <v>0.17</v>
      </c>
    </row>
    <row r="130" spans="1:22" ht="19.5">
      <c r="A130" s="373"/>
      <c r="B130" s="485"/>
      <c r="C130" s="485"/>
      <c r="D130" s="485" t="s">
        <v>230</v>
      </c>
      <c r="E130" s="290">
        <v>0</v>
      </c>
      <c r="F130" s="287">
        <v>0</v>
      </c>
      <c r="G130" s="287">
        <v>0</v>
      </c>
      <c r="H130" s="287">
        <v>0</v>
      </c>
      <c r="I130" s="288">
        <f>SUM(F130:H130)*2.5</f>
        <v>0</v>
      </c>
      <c r="J130" s="288">
        <f>E130+I130</f>
        <v>0</v>
      </c>
      <c r="K130" s="287">
        <v>0</v>
      </c>
      <c r="L130" s="287">
        <v>0</v>
      </c>
      <c r="M130" s="287">
        <v>0</v>
      </c>
      <c r="N130" s="287">
        <v>0</v>
      </c>
      <c r="O130" s="288">
        <f>SUM(L130:N130)*2.5</f>
        <v>0</v>
      </c>
      <c r="P130" s="288">
        <f>K130+O130</f>
        <v>0</v>
      </c>
      <c r="Q130" s="288">
        <f t="shared" si="37"/>
        <v>0</v>
      </c>
      <c r="R130" s="288">
        <f t="shared" si="38"/>
        <v>0</v>
      </c>
      <c r="S130" s="288">
        <f t="shared" si="39"/>
        <v>0</v>
      </c>
      <c r="T130" s="288">
        <f t="shared" si="40"/>
        <v>0</v>
      </c>
      <c r="U130" s="288">
        <f t="shared" si="41"/>
        <v>0</v>
      </c>
      <c r="V130" s="288">
        <f t="shared" si="42"/>
        <v>0</v>
      </c>
    </row>
    <row r="131" spans="1:22" ht="19.5">
      <c r="A131" s="373"/>
      <c r="B131" s="485"/>
      <c r="C131" s="485"/>
      <c r="D131" s="485" t="s">
        <v>231</v>
      </c>
      <c r="E131" s="290">
        <v>0.17</v>
      </c>
      <c r="F131" s="287">
        <v>0</v>
      </c>
      <c r="G131" s="287">
        <v>0</v>
      </c>
      <c r="H131" s="287">
        <v>0</v>
      </c>
      <c r="I131" s="288">
        <f>SUM(F131:H131)*2.5</f>
        <v>0</v>
      </c>
      <c r="J131" s="288">
        <f>E131+I131</f>
        <v>0.17</v>
      </c>
      <c r="K131" s="287">
        <v>0</v>
      </c>
      <c r="L131" s="287">
        <v>0</v>
      </c>
      <c r="M131" s="287">
        <v>0</v>
      </c>
      <c r="N131" s="287">
        <v>0</v>
      </c>
      <c r="O131" s="288">
        <f>SUM(L131:N131)*2.5</f>
        <v>0</v>
      </c>
      <c r="P131" s="288">
        <f>K131+O131</f>
        <v>0</v>
      </c>
      <c r="Q131" s="288">
        <f t="shared" si="37"/>
        <v>0.17</v>
      </c>
      <c r="R131" s="288">
        <f t="shared" si="38"/>
        <v>0</v>
      </c>
      <c r="S131" s="288">
        <f t="shared" si="39"/>
        <v>0</v>
      </c>
      <c r="T131" s="288">
        <f t="shared" si="40"/>
        <v>0</v>
      </c>
      <c r="U131" s="288">
        <f t="shared" si="41"/>
        <v>0</v>
      </c>
      <c r="V131" s="288">
        <f t="shared" si="42"/>
        <v>0.17</v>
      </c>
    </row>
    <row r="132" spans="1:22" ht="19.5">
      <c r="A132" s="483" t="s">
        <v>273</v>
      </c>
      <c r="B132" s="483"/>
      <c r="C132" s="483"/>
      <c r="D132" s="483"/>
      <c r="E132" s="479">
        <f>SUM(E133+E136+E137)</f>
        <v>11.66</v>
      </c>
      <c r="F132" s="479">
        <f aca="true" t="shared" si="61" ref="F132:P132">SUM(F133+F136+F137)</f>
        <v>0</v>
      </c>
      <c r="G132" s="479">
        <f t="shared" si="61"/>
        <v>0</v>
      </c>
      <c r="H132" s="479">
        <f t="shared" si="61"/>
        <v>0</v>
      </c>
      <c r="I132" s="479">
        <f t="shared" si="61"/>
        <v>0</v>
      </c>
      <c r="J132" s="479">
        <f t="shared" si="61"/>
        <v>11.66</v>
      </c>
      <c r="K132" s="479">
        <f>SUM(K133+K136+K137)</f>
        <v>0</v>
      </c>
      <c r="L132" s="479">
        <f t="shared" si="61"/>
        <v>0</v>
      </c>
      <c r="M132" s="479">
        <f t="shared" si="61"/>
        <v>0</v>
      </c>
      <c r="N132" s="479">
        <f t="shared" si="61"/>
        <v>0</v>
      </c>
      <c r="O132" s="479">
        <f t="shared" si="61"/>
        <v>0</v>
      </c>
      <c r="P132" s="479">
        <f t="shared" si="61"/>
        <v>0</v>
      </c>
      <c r="Q132" s="479">
        <f t="shared" si="37"/>
        <v>11.66</v>
      </c>
      <c r="R132" s="479">
        <f t="shared" si="38"/>
        <v>0</v>
      </c>
      <c r="S132" s="479">
        <f t="shared" si="39"/>
        <v>0</v>
      </c>
      <c r="T132" s="479">
        <f t="shared" si="40"/>
        <v>0</v>
      </c>
      <c r="U132" s="479">
        <f t="shared" si="41"/>
        <v>0</v>
      </c>
      <c r="V132" s="479">
        <f t="shared" si="42"/>
        <v>11.66</v>
      </c>
    </row>
    <row r="133" spans="1:22" ht="19.5">
      <c r="A133" s="373"/>
      <c r="B133" s="504" t="s">
        <v>234</v>
      </c>
      <c r="C133" s="485"/>
      <c r="D133" s="485"/>
      <c r="E133" s="287">
        <f>SUM(E134:E135)</f>
        <v>11.33</v>
      </c>
      <c r="F133" s="287">
        <f aca="true" t="shared" si="62" ref="F133:P133">SUM(F134:F135)</f>
        <v>0</v>
      </c>
      <c r="G133" s="287">
        <f t="shared" si="62"/>
        <v>0</v>
      </c>
      <c r="H133" s="287">
        <f t="shared" si="62"/>
        <v>0</v>
      </c>
      <c r="I133" s="287">
        <f t="shared" si="62"/>
        <v>0</v>
      </c>
      <c r="J133" s="287">
        <f t="shared" si="62"/>
        <v>11.33</v>
      </c>
      <c r="K133" s="287">
        <f>SUM(K134:K135)</f>
        <v>0</v>
      </c>
      <c r="L133" s="287">
        <f t="shared" si="62"/>
        <v>0</v>
      </c>
      <c r="M133" s="287">
        <f t="shared" si="62"/>
        <v>0</v>
      </c>
      <c r="N133" s="287">
        <f t="shared" si="62"/>
        <v>0</v>
      </c>
      <c r="O133" s="287">
        <f t="shared" si="62"/>
        <v>0</v>
      </c>
      <c r="P133" s="287">
        <f t="shared" si="62"/>
        <v>0</v>
      </c>
      <c r="Q133" s="287">
        <f t="shared" si="37"/>
        <v>11.33</v>
      </c>
      <c r="R133" s="287">
        <f t="shared" si="38"/>
        <v>0</v>
      </c>
      <c r="S133" s="287">
        <f t="shared" si="39"/>
        <v>0</v>
      </c>
      <c r="T133" s="287">
        <f t="shared" si="40"/>
        <v>0</v>
      </c>
      <c r="U133" s="287">
        <f t="shared" si="41"/>
        <v>0</v>
      </c>
      <c r="V133" s="287">
        <f t="shared" si="42"/>
        <v>11.33</v>
      </c>
    </row>
    <row r="134" spans="1:22" ht="19.5">
      <c r="A134" s="485"/>
      <c r="B134" s="485"/>
      <c r="C134" s="485"/>
      <c r="D134" s="485" t="s">
        <v>232</v>
      </c>
      <c r="E134" s="287">
        <v>11.33</v>
      </c>
      <c r="F134" s="287">
        <v>0</v>
      </c>
      <c r="G134" s="287">
        <v>0</v>
      </c>
      <c r="H134" s="287">
        <v>0</v>
      </c>
      <c r="I134" s="288">
        <f>SUM(F134:H134)*2.5</f>
        <v>0</v>
      </c>
      <c r="J134" s="288">
        <f>E134+I134</f>
        <v>11.33</v>
      </c>
      <c r="K134" s="287"/>
      <c r="L134" s="287">
        <v>0</v>
      </c>
      <c r="M134" s="287">
        <v>0</v>
      </c>
      <c r="N134" s="287">
        <v>0</v>
      </c>
      <c r="O134" s="288">
        <f>SUM(L134:N134)*2.5</f>
        <v>0</v>
      </c>
      <c r="P134" s="288">
        <f>K134+O134</f>
        <v>0</v>
      </c>
      <c r="Q134" s="288">
        <f aca="true" t="shared" si="63" ref="Q134:Q150">SUM(E134+K134)</f>
        <v>11.33</v>
      </c>
      <c r="R134" s="288">
        <f aca="true" t="shared" si="64" ref="R134:R150">SUM(F134+L134)</f>
        <v>0</v>
      </c>
      <c r="S134" s="288">
        <f aca="true" t="shared" si="65" ref="S134:S150">SUM(G134+M134)</f>
        <v>0</v>
      </c>
      <c r="T134" s="288">
        <f aca="true" t="shared" si="66" ref="T134:T150">SUM(H134+N134)</f>
        <v>0</v>
      </c>
      <c r="U134" s="288">
        <f aca="true" t="shared" si="67" ref="U134:U150">SUM(I134+O134)</f>
        <v>0</v>
      </c>
      <c r="V134" s="288">
        <f aca="true" t="shared" si="68" ref="V134:V150">SUM(J134+P134)</f>
        <v>11.33</v>
      </c>
    </row>
    <row r="135" spans="1:22" ht="19.5">
      <c r="A135" s="485"/>
      <c r="B135" s="485"/>
      <c r="C135" s="485"/>
      <c r="D135" s="485" t="s">
        <v>233</v>
      </c>
      <c r="E135" s="287">
        <v>0</v>
      </c>
      <c r="F135" s="287">
        <v>0</v>
      </c>
      <c r="G135" s="287">
        <v>0</v>
      </c>
      <c r="H135" s="287">
        <v>0</v>
      </c>
      <c r="I135" s="288">
        <f>SUM(F135:H135)*2.5</f>
        <v>0</v>
      </c>
      <c r="J135" s="288">
        <f>E135+I135</f>
        <v>0</v>
      </c>
      <c r="K135" s="287">
        <v>0</v>
      </c>
      <c r="L135" s="287">
        <v>0</v>
      </c>
      <c r="M135" s="287"/>
      <c r="N135" s="287">
        <v>0</v>
      </c>
      <c r="O135" s="288">
        <f>SUM(L135:N135)*2.5</f>
        <v>0</v>
      </c>
      <c r="P135" s="288">
        <f>K135+O135</f>
        <v>0</v>
      </c>
      <c r="Q135" s="288">
        <f t="shared" si="63"/>
        <v>0</v>
      </c>
      <c r="R135" s="288">
        <f t="shared" si="64"/>
        <v>0</v>
      </c>
      <c r="S135" s="288">
        <f t="shared" si="65"/>
        <v>0</v>
      </c>
      <c r="T135" s="288">
        <f t="shared" si="66"/>
        <v>0</v>
      </c>
      <c r="U135" s="288">
        <f t="shared" si="67"/>
        <v>0</v>
      </c>
      <c r="V135" s="288">
        <f t="shared" si="68"/>
        <v>0</v>
      </c>
    </row>
    <row r="136" spans="1:22" ht="19.5">
      <c r="A136" s="373"/>
      <c r="B136" s="504" t="s">
        <v>235</v>
      </c>
      <c r="C136" s="485"/>
      <c r="D136" s="485"/>
      <c r="E136" s="287">
        <v>0</v>
      </c>
      <c r="F136" s="287">
        <v>0</v>
      </c>
      <c r="G136" s="287">
        <v>0</v>
      </c>
      <c r="H136" s="287">
        <v>0</v>
      </c>
      <c r="I136" s="288">
        <f>SUM(F136:H136)*2.5</f>
        <v>0</v>
      </c>
      <c r="J136" s="288">
        <f>E136+I136</f>
        <v>0</v>
      </c>
      <c r="K136" s="287">
        <v>0</v>
      </c>
      <c r="L136" s="287">
        <v>0</v>
      </c>
      <c r="M136" s="287">
        <v>0</v>
      </c>
      <c r="N136" s="287">
        <v>0</v>
      </c>
      <c r="O136" s="288">
        <f>SUM(L136:N136)*2.5</f>
        <v>0</v>
      </c>
      <c r="P136" s="288">
        <f>K136+O136</f>
        <v>0</v>
      </c>
      <c r="Q136" s="288">
        <f t="shared" si="63"/>
        <v>0</v>
      </c>
      <c r="R136" s="288">
        <f t="shared" si="64"/>
        <v>0</v>
      </c>
      <c r="S136" s="288">
        <f t="shared" si="65"/>
        <v>0</v>
      </c>
      <c r="T136" s="288">
        <f t="shared" si="66"/>
        <v>0</v>
      </c>
      <c r="U136" s="288">
        <f t="shared" si="67"/>
        <v>0</v>
      </c>
      <c r="V136" s="288">
        <f t="shared" si="68"/>
        <v>0</v>
      </c>
    </row>
    <row r="137" spans="1:22" ht="19.5">
      <c r="A137" s="373"/>
      <c r="B137" s="504" t="s">
        <v>236</v>
      </c>
      <c r="C137" s="485"/>
      <c r="D137" s="485"/>
      <c r="E137" s="287">
        <v>0.33</v>
      </c>
      <c r="F137" s="287">
        <v>0</v>
      </c>
      <c r="G137" s="287">
        <v>0</v>
      </c>
      <c r="H137" s="287">
        <v>0</v>
      </c>
      <c r="I137" s="288">
        <f>SUM(F137:H137)*2.5</f>
        <v>0</v>
      </c>
      <c r="J137" s="288">
        <f>E137+I137</f>
        <v>0.33</v>
      </c>
      <c r="K137" s="287">
        <v>0</v>
      </c>
      <c r="L137" s="287">
        <v>0</v>
      </c>
      <c r="M137" s="287">
        <v>0</v>
      </c>
      <c r="N137" s="287">
        <v>0</v>
      </c>
      <c r="O137" s="288">
        <f>SUM(L137:N137)*2.5</f>
        <v>0</v>
      </c>
      <c r="P137" s="288">
        <f>K137+O137</f>
        <v>0</v>
      </c>
      <c r="Q137" s="288">
        <f t="shared" si="63"/>
        <v>0.33</v>
      </c>
      <c r="R137" s="288">
        <f t="shared" si="64"/>
        <v>0</v>
      </c>
      <c r="S137" s="288">
        <f t="shared" si="65"/>
        <v>0</v>
      </c>
      <c r="T137" s="288">
        <f t="shared" si="66"/>
        <v>0</v>
      </c>
      <c r="U137" s="288">
        <f t="shared" si="67"/>
        <v>0</v>
      </c>
      <c r="V137" s="288">
        <f t="shared" si="68"/>
        <v>0.33</v>
      </c>
    </row>
    <row r="138" spans="1:22" ht="19.5">
      <c r="A138" s="483" t="s">
        <v>274</v>
      </c>
      <c r="B138" s="483"/>
      <c r="C138" s="483"/>
      <c r="D138" s="483"/>
      <c r="E138" s="478">
        <f>SUM(E139+E144)</f>
        <v>65.32000000000001</v>
      </c>
      <c r="F138" s="478">
        <f aca="true" t="shared" si="69" ref="F138:O138">SUM(F139+F144)</f>
        <v>0</v>
      </c>
      <c r="G138" s="478">
        <f t="shared" si="69"/>
        <v>0</v>
      </c>
      <c r="H138" s="478">
        <f t="shared" si="69"/>
        <v>0</v>
      </c>
      <c r="I138" s="478">
        <f t="shared" si="69"/>
        <v>0</v>
      </c>
      <c r="J138" s="478">
        <f t="shared" si="69"/>
        <v>65.32000000000001</v>
      </c>
      <c r="K138" s="478">
        <f>SUM(K139+K144)</f>
        <v>0</v>
      </c>
      <c r="L138" s="478">
        <f t="shared" si="69"/>
        <v>0</v>
      </c>
      <c r="M138" s="478">
        <f t="shared" si="69"/>
        <v>0</v>
      </c>
      <c r="N138" s="478">
        <f t="shared" si="69"/>
        <v>0</v>
      </c>
      <c r="O138" s="478">
        <f t="shared" si="69"/>
        <v>0</v>
      </c>
      <c r="P138" s="478">
        <f>SUM(K138+O138)</f>
        <v>0</v>
      </c>
      <c r="Q138" s="478">
        <f t="shared" si="63"/>
        <v>65.32000000000001</v>
      </c>
      <c r="R138" s="478">
        <f t="shared" si="64"/>
        <v>0</v>
      </c>
      <c r="S138" s="478">
        <f t="shared" si="65"/>
        <v>0</v>
      </c>
      <c r="T138" s="478">
        <f t="shared" si="66"/>
        <v>0</v>
      </c>
      <c r="U138" s="478">
        <f t="shared" si="67"/>
        <v>0</v>
      </c>
      <c r="V138" s="478">
        <f t="shared" si="68"/>
        <v>65.32000000000001</v>
      </c>
    </row>
    <row r="139" spans="1:22" ht="19.5">
      <c r="A139" s="504"/>
      <c r="B139" s="504" t="s">
        <v>237</v>
      </c>
      <c r="C139" s="485"/>
      <c r="D139" s="504"/>
      <c r="E139" s="287">
        <f>SUM(E140:E143)</f>
        <v>65.32000000000001</v>
      </c>
      <c r="F139" s="302">
        <f aca="true" t="shared" si="70" ref="F139:O139">SUM(F140:F143)</f>
        <v>0</v>
      </c>
      <c r="G139" s="302">
        <f t="shared" si="70"/>
        <v>0</v>
      </c>
      <c r="H139" s="302">
        <f t="shared" si="70"/>
        <v>0</v>
      </c>
      <c r="I139" s="302">
        <f t="shared" si="70"/>
        <v>0</v>
      </c>
      <c r="J139" s="287">
        <f t="shared" si="70"/>
        <v>65.32000000000001</v>
      </c>
      <c r="K139" s="302">
        <f>SUM(K140:K143)</f>
        <v>0</v>
      </c>
      <c r="L139" s="302">
        <f t="shared" si="70"/>
        <v>0</v>
      </c>
      <c r="M139" s="302">
        <f t="shared" si="70"/>
        <v>0</v>
      </c>
      <c r="N139" s="302">
        <f t="shared" si="70"/>
        <v>0</v>
      </c>
      <c r="O139" s="302">
        <f t="shared" si="70"/>
        <v>0</v>
      </c>
      <c r="P139" s="391">
        <f aca="true" t="shared" si="71" ref="P139:P144">SUM(K139+O139)</f>
        <v>0</v>
      </c>
      <c r="Q139" s="391">
        <f t="shared" si="63"/>
        <v>65.32000000000001</v>
      </c>
      <c r="R139" s="391">
        <f t="shared" si="64"/>
        <v>0</v>
      </c>
      <c r="S139" s="391">
        <f t="shared" si="65"/>
        <v>0</v>
      </c>
      <c r="T139" s="391">
        <f t="shared" si="66"/>
        <v>0</v>
      </c>
      <c r="U139" s="391">
        <f t="shared" si="67"/>
        <v>0</v>
      </c>
      <c r="V139" s="391">
        <f t="shared" si="68"/>
        <v>65.32000000000001</v>
      </c>
    </row>
    <row r="140" spans="1:22" ht="19.5">
      <c r="A140" s="504"/>
      <c r="B140" s="485"/>
      <c r="C140" s="485"/>
      <c r="D140" s="485" t="s">
        <v>239</v>
      </c>
      <c r="E140" s="287">
        <v>13.05</v>
      </c>
      <c r="F140" s="287">
        <v>0</v>
      </c>
      <c r="G140" s="287"/>
      <c r="H140" s="302">
        <v>0</v>
      </c>
      <c r="I140" s="288">
        <f>SUM(F140:H140)*2.5</f>
        <v>0</v>
      </c>
      <c r="J140" s="287">
        <f>E140+I140</f>
        <v>13.05</v>
      </c>
      <c r="K140" s="287">
        <v>0</v>
      </c>
      <c r="L140" s="302">
        <v>0</v>
      </c>
      <c r="M140" s="287"/>
      <c r="N140" s="302">
        <v>0</v>
      </c>
      <c r="O140" s="288">
        <f>SUM(L140:N140)*2.5</f>
        <v>0</v>
      </c>
      <c r="P140" s="391">
        <f t="shared" si="71"/>
        <v>0</v>
      </c>
      <c r="Q140" s="391">
        <f t="shared" si="63"/>
        <v>13.05</v>
      </c>
      <c r="R140" s="391">
        <f t="shared" si="64"/>
        <v>0</v>
      </c>
      <c r="S140" s="391">
        <f t="shared" si="65"/>
        <v>0</v>
      </c>
      <c r="T140" s="391">
        <f t="shared" si="66"/>
        <v>0</v>
      </c>
      <c r="U140" s="391">
        <f t="shared" si="67"/>
        <v>0</v>
      </c>
      <c r="V140" s="391">
        <f t="shared" si="68"/>
        <v>13.05</v>
      </c>
    </row>
    <row r="141" spans="1:22" ht="19.5">
      <c r="A141" s="504"/>
      <c r="B141" s="485"/>
      <c r="C141" s="485"/>
      <c r="D141" s="485" t="s">
        <v>315</v>
      </c>
      <c r="E141" s="287">
        <v>0</v>
      </c>
      <c r="F141" s="287">
        <v>0</v>
      </c>
      <c r="G141" s="287">
        <v>0</v>
      </c>
      <c r="H141" s="302">
        <v>0</v>
      </c>
      <c r="I141" s="288">
        <v>0</v>
      </c>
      <c r="J141" s="287">
        <v>0</v>
      </c>
      <c r="K141" s="287">
        <v>0</v>
      </c>
      <c r="L141" s="302">
        <v>0</v>
      </c>
      <c r="M141" s="287"/>
      <c r="N141" s="302">
        <v>0</v>
      </c>
      <c r="O141" s="288">
        <f>SUM(L141:N141)*2.5</f>
        <v>0</v>
      </c>
      <c r="P141" s="391">
        <f t="shared" si="71"/>
        <v>0</v>
      </c>
      <c r="Q141" s="391">
        <f t="shared" si="63"/>
        <v>0</v>
      </c>
      <c r="R141" s="391">
        <f t="shared" si="64"/>
        <v>0</v>
      </c>
      <c r="S141" s="391">
        <f t="shared" si="65"/>
        <v>0</v>
      </c>
      <c r="T141" s="391">
        <f t="shared" si="66"/>
        <v>0</v>
      </c>
      <c r="U141" s="391">
        <f t="shared" si="67"/>
        <v>0</v>
      </c>
      <c r="V141" s="391">
        <f t="shared" si="68"/>
        <v>0</v>
      </c>
    </row>
    <row r="142" spans="1:22" ht="19.5">
      <c r="A142" s="504"/>
      <c r="B142" s="485"/>
      <c r="C142" s="485"/>
      <c r="D142" s="485" t="s">
        <v>240</v>
      </c>
      <c r="E142" s="290">
        <v>52.27</v>
      </c>
      <c r="F142" s="302">
        <v>0</v>
      </c>
      <c r="G142" s="302">
        <v>0</v>
      </c>
      <c r="H142" s="302">
        <v>0</v>
      </c>
      <c r="I142" s="288">
        <f>SUM(F142:H142)*2.5</f>
        <v>0</v>
      </c>
      <c r="J142" s="287">
        <f>E142+I142</f>
        <v>52.27</v>
      </c>
      <c r="K142" s="287">
        <v>0</v>
      </c>
      <c r="L142" s="302">
        <v>0</v>
      </c>
      <c r="M142" s="302">
        <v>0</v>
      </c>
      <c r="N142" s="302">
        <v>0</v>
      </c>
      <c r="O142" s="288">
        <f>SUM(L142:N142)*2.5</f>
        <v>0</v>
      </c>
      <c r="P142" s="391">
        <f t="shared" si="71"/>
        <v>0</v>
      </c>
      <c r="Q142" s="391">
        <f t="shared" si="63"/>
        <v>52.27</v>
      </c>
      <c r="R142" s="391">
        <f t="shared" si="64"/>
        <v>0</v>
      </c>
      <c r="S142" s="391">
        <f t="shared" si="65"/>
        <v>0</v>
      </c>
      <c r="T142" s="391">
        <f t="shared" si="66"/>
        <v>0</v>
      </c>
      <c r="U142" s="391">
        <f t="shared" si="67"/>
        <v>0</v>
      </c>
      <c r="V142" s="391">
        <f t="shared" si="68"/>
        <v>52.27</v>
      </c>
    </row>
    <row r="143" spans="1:22" ht="19.5">
      <c r="A143" s="504"/>
      <c r="B143" s="485"/>
      <c r="C143" s="485"/>
      <c r="D143" s="485" t="s">
        <v>241</v>
      </c>
      <c r="E143" s="290">
        <v>0</v>
      </c>
      <c r="F143" s="302">
        <v>0</v>
      </c>
      <c r="G143" s="302">
        <v>0</v>
      </c>
      <c r="H143" s="302">
        <v>0</v>
      </c>
      <c r="I143" s="288">
        <f>SUM(F143:H143)*2.5</f>
        <v>0</v>
      </c>
      <c r="J143" s="287">
        <f>E143+I143</f>
        <v>0</v>
      </c>
      <c r="K143" s="287">
        <v>0</v>
      </c>
      <c r="L143" s="302">
        <v>0</v>
      </c>
      <c r="M143" s="302">
        <v>0</v>
      </c>
      <c r="N143" s="302">
        <v>0</v>
      </c>
      <c r="O143" s="288">
        <f>SUM(L143:N143)*2.5</f>
        <v>0</v>
      </c>
      <c r="P143" s="391">
        <f t="shared" si="71"/>
        <v>0</v>
      </c>
      <c r="Q143" s="391">
        <f t="shared" si="63"/>
        <v>0</v>
      </c>
      <c r="R143" s="391">
        <f t="shared" si="64"/>
        <v>0</v>
      </c>
      <c r="S143" s="391">
        <f t="shared" si="65"/>
        <v>0</v>
      </c>
      <c r="T143" s="391">
        <f t="shared" si="66"/>
        <v>0</v>
      </c>
      <c r="U143" s="391">
        <f t="shared" si="67"/>
        <v>0</v>
      </c>
      <c r="V143" s="391">
        <f t="shared" si="68"/>
        <v>0</v>
      </c>
    </row>
    <row r="144" spans="1:22" ht="19.5">
      <c r="A144" s="373"/>
      <c r="B144" s="504" t="s">
        <v>238</v>
      </c>
      <c r="C144" s="485"/>
      <c r="D144" s="485"/>
      <c r="E144" s="287">
        <v>0</v>
      </c>
      <c r="F144" s="287">
        <v>0</v>
      </c>
      <c r="G144" s="287">
        <v>0</v>
      </c>
      <c r="H144" s="287">
        <v>0</v>
      </c>
      <c r="I144" s="288">
        <f>SUM(F144:H144)*2.5</f>
        <v>0</v>
      </c>
      <c r="J144" s="287">
        <f>E144+I144</f>
        <v>0</v>
      </c>
      <c r="K144" s="287">
        <v>0</v>
      </c>
      <c r="L144" s="287">
        <v>0</v>
      </c>
      <c r="M144" s="287">
        <v>0</v>
      </c>
      <c r="N144" s="287">
        <v>0</v>
      </c>
      <c r="O144" s="288">
        <f>SUM(L144:N144)*2.5</f>
        <v>0</v>
      </c>
      <c r="P144" s="391">
        <f t="shared" si="71"/>
        <v>0</v>
      </c>
      <c r="Q144" s="391">
        <f t="shared" si="63"/>
        <v>0</v>
      </c>
      <c r="R144" s="391">
        <f t="shared" si="64"/>
        <v>0</v>
      </c>
      <c r="S144" s="391">
        <f t="shared" si="65"/>
        <v>0</v>
      </c>
      <c r="T144" s="391">
        <f t="shared" si="66"/>
        <v>0</v>
      </c>
      <c r="U144" s="391">
        <f t="shared" si="67"/>
        <v>0</v>
      </c>
      <c r="V144" s="391">
        <f t="shared" si="68"/>
        <v>0</v>
      </c>
    </row>
    <row r="145" spans="1:22" ht="19.5">
      <c r="A145" s="483" t="s">
        <v>304</v>
      </c>
      <c r="B145" s="483"/>
      <c r="C145" s="483"/>
      <c r="D145" s="483"/>
      <c r="E145" s="478">
        <f>SUM(E146)</f>
        <v>0</v>
      </c>
      <c r="F145" s="478">
        <f aca="true" t="shared" si="72" ref="F145:P145">SUM(F146)</f>
        <v>0</v>
      </c>
      <c r="G145" s="478">
        <f t="shared" si="72"/>
        <v>0</v>
      </c>
      <c r="H145" s="478">
        <f t="shared" si="72"/>
        <v>0</v>
      </c>
      <c r="I145" s="478">
        <f t="shared" si="72"/>
        <v>0</v>
      </c>
      <c r="J145" s="478">
        <f t="shared" si="72"/>
        <v>0</v>
      </c>
      <c r="K145" s="478">
        <f t="shared" si="72"/>
        <v>0</v>
      </c>
      <c r="L145" s="478">
        <f t="shared" si="72"/>
        <v>0</v>
      </c>
      <c r="M145" s="478">
        <f t="shared" si="72"/>
        <v>0</v>
      </c>
      <c r="N145" s="478">
        <f t="shared" si="72"/>
        <v>0</v>
      </c>
      <c r="O145" s="478">
        <f t="shared" si="72"/>
        <v>0</v>
      </c>
      <c r="P145" s="478">
        <f t="shared" si="72"/>
        <v>0</v>
      </c>
      <c r="Q145" s="478">
        <f>SUM(E145+K145)</f>
        <v>0</v>
      </c>
      <c r="R145" s="478">
        <f t="shared" si="64"/>
        <v>0</v>
      </c>
      <c r="S145" s="478">
        <f t="shared" si="65"/>
        <v>0</v>
      </c>
      <c r="T145" s="478">
        <f t="shared" si="66"/>
        <v>0</v>
      </c>
      <c r="U145" s="478">
        <f t="shared" si="67"/>
        <v>0</v>
      </c>
      <c r="V145" s="478">
        <f t="shared" si="68"/>
        <v>0</v>
      </c>
    </row>
    <row r="146" spans="1:22" ht="19.5">
      <c r="A146" s="504"/>
      <c r="B146" s="504" t="s">
        <v>305</v>
      </c>
      <c r="C146" s="485"/>
      <c r="D146" s="504"/>
      <c r="E146" s="287">
        <f>SUM(E146)</f>
        <v>0</v>
      </c>
      <c r="F146" s="287">
        <f aca="true" t="shared" si="73" ref="F146:O146">SUM(F147:F149)</f>
        <v>0</v>
      </c>
      <c r="G146" s="287">
        <f t="shared" si="73"/>
        <v>0</v>
      </c>
      <c r="H146" s="287">
        <f t="shared" si="73"/>
        <v>0</v>
      </c>
      <c r="I146" s="287">
        <f t="shared" si="73"/>
        <v>0</v>
      </c>
      <c r="J146" s="287">
        <f t="shared" si="73"/>
        <v>0</v>
      </c>
      <c r="K146" s="287">
        <v>0</v>
      </c>
      <c r="L146" s="287">
        <f t="shared" si="73"/>
        <v>0</v>
      </c>
      <c r="M146" s="287">
        <f t="shared" si="73"/>
        <v>0</v>
      </c>
      <c r="N146" s="287">
        <f t="shared" si="73"/>
        <v>0</v>
      </c>
      <c r="O146" s="287">
        <f t="shared" si="73"/>
        <v>0</v>
      </c>
      <c r="P146" s="358">
        <f>SUM(K146+O146)</f>
        <v>0</v>
      </c>
      <c r="Q146" s="358"/>
      <c r="R146" s="358">
        <f t="shared" si="64"/>
        <v>0</v>
      </c>
      <c r="S146" s="358">
        <f t="shared" si="65"/>
        <v>0</v>
      </c>
      <c r="T146" s="358">
        <f t="shared" si="66"/>
        <v>0</v>
      </c>
      <c r="U146" s="358">
        <f t="shared" si="67"/>
        <v>0</v>
      </c>
      <c r="V146" s="358">
        <f t="shared" si="68"/>
        <v>0</v>
      </c>
    </row>
    <row r="147" spans="1:22" ht="19.5">
      <c r="A147" s="483" t="s">
        <v>306</v>
      </c>
      <c r="B147" s="483"/>
      <c r="C147" s="483"/>
      <c r="D147" s="483"/>
      <c r="E147" s="478">
        <f>SUM(E148)</f>
        <v>0</v>
      </c>
      <c r="F147" s="478">
        <f aca="true" t="shared" si="74" ref="F147:P147">SUM(F148)</f>
        <v>0</v>
      </c>
      <c r="G147" s="478">
        <f t="shared" si="74"/>
        <v>0</v>
      </c>
      <c r="H147" s="478">
        <f t="shared" si="74"/>
        <v>0</v>
      </c>
      <c r="I147" s="478">
        <f t="shared" si="74"/>
        <v>0</v>
      </c>
      <c r="J147" s="478">
        <f t="shared" si="74"/>
        <v>0</v>
      </c>
      <c r="K147" s="478">
        <f t="shared" si="74"/>
        <v>0</v>
      </c>
      <c r="L147" s="478">
        <f t="shared" si="74"/>
        <v>0</v>
      </c>
      <c r="M147" s="478">
        <f t="shared" si="74"/>
        <v>0</v>
      </c>
      <c r="N147" s="478">
        <f t="shared" si="74"/>
        <v>0</v>
      </c>
      <c r="O147" s="478">
        <f t="shared" si="74"/>
        <v>0</v>
      </c>
      <c r="P147" s="478">
        <f t="shared" si="74"/>
        <v>0</v>
      </c>
      <c r="Q147" s="478">
        <f t="shared" si="63"/>
        <v>0</v>
      </c>
      <c r="R147" s="478">
        <f t="shared" si="64"/>
        <v>0</v>
      </c>
      <c r="S147" s="478">
        <f t="shared" si="65"/>
        <v>0</v>
      </c>
      <c r="T147" s="478">
        <f t="shared" si="66"/>
        <v>0</v>
      </c>
      <c r="U147" s="478">
        <f t="shared" si="67"/>
        <v>0</v>
      </c>
      <c r="V147" s="478">
        <f t="shared" si="68"/>
        <v>0</v>
      </c>
    </row>
    <row r="148" spans="1:22" ht="19.5">
      <c r="A148" s="504"/>
      <c r="B148" s="504" t="s">
        <v>305</v>
      </c>
      <c r="C148" s="485"/>
      <c r="D148" s="504"/>
      <c r="E148" s="287">
        <f>SUM(E149:E151)</f>
        <v>0</v>
      </c>
      <c r="F148" s="287">
        <f aca="true" t="shared" si="75" ref="F148:O148">SUM(F149:F151)</f>
        <v>0</v>
      </c>
      <c r="G148" s="287">
        <f t="shared" si="75"/>
        <v>0</v>
      </c>
      <c r="H148" s="287">
        <f t="shared" si="75"/>
        <v>0</v>
      </c>
      <c r="I148" s="287">
        <f t="shared" si="75"/>
        <v>0</v>
      </c>
      <c r="J148" s="287">
        <f t="shared" si="75"/>
        <v>0</v>
      </c>
      <c r="K148" s="287">
        <v>0</v>
      </c>
      <c r="L148" s="287">
        <f t="shared" si="75"/>
        <v>0</v>
      </c>
      <c r="M148" s="287">
        <f t="shared" si="75"/>
        <v>0</v>
      </c>
      <c r="N148" s="287">
        <f t="shared" si="75"/>
        <v>0</v>
      </c>
      <c r="O148" s="287">
        <f t="shared" si="75"/>
        <v>0</v>
      </c>
      <c r="P148" s="358">
        <f>SUM(K148+O148)</f>
        <v>0</v>
      </c>
      <c r="Q148" s="358">
        <f t="shared" si="63"/>
        <v>0</v>
      </c>
      <c r="R148" s="358">
        <f t="shared" si="64"/>
        <v>0</v>
      </c>
      <c r="S148" s="358">
        <f t="shared" si="65"/>
        <v>0</v>
      </c>
      <c r="T148" s="358">
        <f t="shared" si="66"/>
        <v>0</v>
      </c>
      <c r="U148" s="358">
        <f t="shared" si="67"/>
        <v>0</v>
      </c>
      <c r="V148" s="358">
        <f t="shared" si="68"/>
        <v>0</v>
      </c>
    </row>
    <row r="149" spans="1:22" ht="19.5">
      <c r="A149" s="483" t="s">
        <v>307</v>
      </c>
      <c r="B149" s="483"/>
      <c r="C149" s="483"/>
      <c r="D149" s="483"/>
      <c r="E149" s="478">
        <f>SUM(E150)</f>
        <v>0</v>
      </c>
      <c r="F149" s="478">
        <f aca="true" t="shared" si="76" ref="F149:P149">SUM(F150)</f>
        <v>0</v>
      </c>
      <c r="G149" s="478">
        <f t="shared" si="76"/>
        <v>0</v>
      </c>
      <c r="H149" s="478">
        <f t="shared" si="76"/>
        <v>0</v>
      </c>
      <c r="I149" s="478">
        <f t="shared" si="76"/>
        <v>0</v>
      </c>
      <c r="J149" s="478">
        <f t="shared" si="76"/>
        <v>0</v>
      </c>
      <c r="K149" s="478">
        <f t="shared" si="76"/>
        <v>0</v>
      </c>
      <c r="L149" s="478">
        <f t="shared" si="76"/>
        <v>0</v>
      </c>
      <c r="M149" s="478">
        <f t="shared" si="76"/>
        <v>0</v>
      </c>
      <c r="N149" s="478">
        <f t="shared" si="76"/>
        <v>0</v>
      </c>
      <c r="O149" s="478">
        <f t="shared" si="76"/>
        <v>0</v>
      </c>
      <c r="P149" s="478">
        <f t="shared" si="76"/>
        <v>0</v>
      </c>
      <c r="Q149" s="478">
        <f t="shared" si="63"/>
        <v>0</v>
      </c>
      <c r="R149" s="478">
        <f t="shared" si="64"/>
        <v>0</v>
      </c>
      <c r="S149" s="478">
        <f t="shared" si="65"/>
        <v>0</v>
      </c>
      <c r="T149" s="478">
        <f t="shared" si="66"/>
        <v>0</v>
      </c>
      <c r="U149" s="478">
        <f t="shared" si="67"/>
        <v>0</v>
      </c>
      <c r="V149" s="478">
        <f t="shared" si="68"/>
        <v>0</v>
      </c>
    </row>
    <row r="150" spans="1:22" ht="19.5">
      <c r="A150" s="511"/>
      <c r="B150" s="511" t="s">
        <v>308</v>
      </c>
      <c r="C150" s="512"/>
      <c r="D150" s="511"/>
      <c r="E150" s="303">
        <f>SUM(E151:E153)</f>
        <v>0</v>
      </c>
      <c r="F150" s="303">
        <f aca="true" t="shared" si="77" ref="F150:O150">SUM(F151:F153)</f>
        <v>0</v>
      </c>
      <c r="G150" s="303">
        <f t="shared" si="77"/>
        <v>0</v>
      </c>
      <c r="H150" s="303">
        <f t="shared" si="77"/>
        <v>0</v>
      </c>
      <c r="I150" s="303">
        <f t="shared" si="77"/>
        <v>0</v>
      </c>
      <c r="J150" s="303">
        <f t="shared" si="77"/>
        <v>0</v>
      </c>
      <c r="K150" s="303">
        <v>0</v>
      </c>
      <c r="L150" s="303">
        <f t="shared" si="77"/>
        <v>0</v>
      </c>
      <c r="M150" s="303">
        <f t="shared" si="77"/>
        <v>0</v>
      </c>
      <c r="N150" s="303">
        <f t="shared" si="77"/>
        <v>0</v>
      </c>
      <c r="O150" s="303">
        <f t="shared" si="77"/>
        <v>0</v>
      </c>
      <c r="P150" s="397">
        <f>SUM(K150+O150)</f>
        <v>0</v>
      </c>
      <c r="Q150" s="397">
        <f t="shared" si="63"/>
        <v>0</v>
      </c>
      <c r="R150" s="397">
        <f t="shared" si="64"/>
        <v>0</v>
      </c>
      <c r="S150" s="397">
        <f t="shared" si="65"/>
        <v>0</v>
      </c>
      <c r="T150" s="397">
        <f t="shared" si="66"/>
        <v>0</v>
      </c>
      <c r="U150" s="397">
        <f t="shared" si="67"/>
        <v>0</v>
      </c>
      <c r="V150" s="397">
        <f t="shared" si="68"/>
        <v>0</v>
      </c>
    </row>
    <row r="151" spans="1:16" ht="18.75">
      <c r="A151" s="256" t="s">
        <v>276</v>
      </c>
      <c r="B151" s="256"/>
      <c r="C151" s="256"/>
      <c r="D151" s="256"/>
      <c r="E151" s="256"/>
      <c r="F151" s="256"/>
      <c r="G151" s="256"/>
      <c r="H151" s="256"/>
      <c r="I151" s="256"/>
      <c r="J151" s="467"/>
      <c r="K151" s="258"/>
      <c r="L151" s="257"/>
      <c r="M151" s="257"/>
      <c r="N151" s="257"/>
      <c r="O151" s="257"/>
      <c r="P151" s="257"/>
    </row>
    <row r="152" spans="1:16" ht="18.75">
      <c r="A152" s="258" t="s">
        <v>318</v>
      </c>
      <c r="B152" s="258"/>
      <c r="C152" s="258"/>
      <c r="D152" s="258"/>
      <c r="E152" s="256"/>
      <c r="F152" s="256"/>
      <c r="G152" s="256"/>
      <c r="H152" s="256"/>
      <c r="I152" s="256"/>
      <c r="J152" s="467"/>
      <c r="K152" s="258"/>
      <c r="L152" s="257"/>
      <c r="M152" s="257"/>
      <c r="N152" s="257"/>
      <c r="O152" s="257"/>
      <c r="P152" s="257"/>
    </row>
    <row r="153" spans="1:16" ht="18.75">
      <c r="A153" s="257"/>
      <c r="B153" s="257"/>
      <c r="C153" s="257"/>
      <c r="D153" s="257"/>
      <c r="E153" s="257"/>
      <c r="F153" s="257"/>
      <c r="G153" s="257"/>
      <c r="H153" s="257"/>
      <c r="I153" s="257"/>
      <c r="J153" s="258"/>
      <c r="K153" s="258"/>
      <c r="L153" s="257"/>
      <c r="M153" s="257"/>
      <c r="N153" s="257"/>
      <c r="O153" s="257"/>
      <c r="P153" s="257"/>
    </row>
    <row r="154" spans="1:16" ht="21.75">
      <c r="A154" s="468" t="s">
        <v>292</v>
      </c>
      <c r="B154" s="406"/>
      <c r="C154" s="406"/>
      <c r="D154" s="406"/>
      <c r="E154" s="406"/>
      <c r="F154" s="406"/>
      <c r="G154" s="406"/>
      <c r="H154" s="406"/>
      <c r="I154" s="406"/>
      <c r="J154" s="469"/>
      <c r="K154" s="469"/>
      <c r="L154" s="406"/>
      <c r="M154" s="406"/>
      <c r="N154" s="406"/>
      <c r="O154" s="406"/>
      <c r="P154" s="406"/>
    </row>
    <row r="155" spans="1:16" ht="21.75">
      <c r="A155" s="406"/>
      <c r="B155" s="406"/>
      <c r="C155" s="406"/>
      <c r="D155" s="406"/>
      <c r="E155" s="480"/>
      <c r="F155" s="406"/>
      <c r="G155" s="406"/>
      <c r="H155" s="406"/>
      <c r="I155" s="406"/>
      <c r="J155" s="469"/>
      <c r="K155" s="469"/>
      <c r="L155" s="406"/>
      <c r="M155" s="406"/>
      <c r="N155" s="406"/>
      <c r="O155" s="406"/>
      <c r="P155" s="406"/>
    </row>
    <row r="156" spans="1:16" ht="21.75">
      <c r="A156" s="406"/>
      <c r="B156" s="406"/>
      <c r="C156" s="406"/>
      <c r="D156" s="406"/>
      <c r="E156" s="406"/>
      <c r="F156" s="406"/>
      <c r="G156" s="406"/>
      <c r="H156" s="406"/>
      <c r="I156" s="406"/>
      <c r="J156" s="469"/>
      <c r="K156" s="469"/>
      <c r="L156" s="406"/>
      <c r="M156" s="406"/>
      <c r="N156" s="406"/>
      <c r="O156" s="406"/>
      <c r="P156" s="406"/>
    </row>
    <row r="157" spans="1:16" ht="21.75">
      <c r="A157" s="406"/>
      <c r="B157" s="406"/>
      <c r="C157" s="406"/>
      <c r="D157" s="406"/>
      <c r="E157" s="406"/>
      <c r="F157" s="406"/>
      <c r="G157" s="406"/>
      <c r="H157" s="406"/>
      <c r="I157" s="406"/>
      <c r="J157" s="469"/>
      <c r="K157" s="469"/>
      <c r="L157" s="406"/>
      <c r="M157" s="406"/>
      <c r="N157" s="406"/>
      <c r="O157" s="406"/>
      <c r="P157" s="406"/>
    </row>
    <row r="158" spans="1:16" ht="21.75">
      <c r="A158" s="406"/>
      <c r="B158" s="406"/>
      <c r="C158" s="406"/>
      <c r="D158" s="406"/>
      <c r="E158" s="406"/>
      <c r="F158" s="406"/>
      <c r="G158" s="406"/>
      <c r="H158" s="406"/>
      <c r="I158" s="406"/>
      <c r="J158" s="469"/>
      <c r="K158" s="469"/>
      <c r="L158" s="406"/>
      <c r="M158" s="406"/>
      <c r="N158" s="406"/>
      <c r="O158" s="406"/>
      <c r="P158" s="406"/>
    </row>
    <row r="159" spans="1:16" ht="21.75">
      <c r="A159" s="406"/>
      <c r="B159" s="406"/>
      <c r="C159" s="406"/>
      <c r="D159" s="406"/>
      <c r="E159" s="406"/>
      <c r="F159" s="406"/>
      <c r="G159" s="406"/>
      <c r="H159" s="406"/>
      <c r="I159" s="406"/>
      <c r="J159" s="469"/>
      <c r="K159" s="469"/>
      <c r="L159" s="406"/>
      <c r="M159" s="406"/>
      <c r="N159" s="406"/>
      <c r="O159" s="406"/>
      <c r="P159" s="406"/>
    </row>
    <row r="160" spans="1:16" ht="21.75">
      <c r="A160" s="406"/>
      <c r="B160" s="406"/>
      <c r="C160" s="406"/>
      <c r="D160" s="406"/>
      <c r="E160" s="406"/>
      <c r="F160" s="406"/>
      <c r="G160" s="406"/>
      <c r="H160" s="406"/>
      <c r="I160" s="406"/>
      <c r="J160" s="469"/>
      <c r="K160" s="469"/>
      <c r="L160" s="406"/>
      <c r="M160" s="406"/>
      <c r="N160" s="406"/>
      <c r="O160" s="406"/>
      <c r="P160" s="406"/>
    </row>
    <row r="161" spans="1:16" ht="21.75">
      <c r="A161" s="406"/>
      <c r="B161" s="406"/>
      <c r="C161" s="406"/>
      <c r="D161" s="406"/>
      <c r="E161" s="406"/>
      <c r="F161" s="406"/>
      <c r="G161" s="406"/>
      <c r="H161" s="406"/>
      <c r="I161" s="406"/>
      <c r="J161" s="469"/>
      <c r="K161" s="469"/>
      <c r="L161" s="406"/>
      <c r="M161" s="406"/>
      <c r="N161" s="406"/>
      <c r="O161" s="406"/>
      <c r="P161" s="406"/>
    </row>
    <row r="162" spans="1:16" ht="21.75">
      <c r="A162" s="406"/>
      <c r="B162" s="406"/>
      <c r="C162" s="406"/>
      <c r="D162" s="406"/>
      <c r="E162" s="406"/>
      <c r="F162" s="406"/>
      <c r="G162" s="406"/>
      <c r="H162" s="406"/>
      <c r="I162" s="406"/>
      <c r="J162" s="469"/>
      <c r="K162" s="469"/>
      <c r="L162" s="406"/>
      <c r="M162" s="406"/>
      <c r="N162" s="406"/>
      <c r="O162" s="406"/>
      <c r="P162" s="406"/>
    </row>
    <row r="163" spans="1:16" ht="21.75">
      <c r="A163" s="406"/>
      <c r="B163" s="406"/>
      <c r="C163" s="406"/>
      <c r="D163" s="406"/>
      <c r="E163" s="406"/>
      <c r="F163" s="406"/>
      <c r="G163" s="406"/>
      <c r="H163" s="406"/>
      <c r="I163" s="406"/>
      <c r="J163" s="469"/>
      <c r="K163" s="469"/>
      <c r="L163" s="406"/>
      <c r="M163" s="406"/>
      <c r="N163" s="406"/>
      <c r="O163" s="406"/>
      <c r="P163" s="406"/>
    </row>
    <row r="164" spans="1:16" ht="21.75">
      <c r="A164" s="406"/>
      <c r="B164" s="406"/>
      <c r="C164" s="406"/>
      <c r="D164" s="406"/>
      <c r="E164" s="406"/>
      <c r="F164" s="406"/>
      <c r="G164" s="406"/>
      <c r="H164" s="406"/>
      <c r="I164" s="406"/>
      <c r="J164" s="469"/>
      <c r="K164" s="469"/>
      <c r="L164" s="406"/>
      <c r="M164" s="406"/>
      <c r="N164" s="406"/>
      <c r="O164" s="406"/>
      <c r="P164" s="406"/>
    </row>
    <row r="165" spans="1:16" ht="21.75">
      <c r="A165" s="406"/>
      <c r="B165" s="406"/>
      <c r="C165" s="406"/>
      <c r="D165" s="406"/>
      <c r="E165" s="406"/>
      <c r="F165" s="406"/>
      <c r="G165" s="406"/>
      <c r="H165" s="406"/>
      <c r="I165" s="406"/>
      <c r="J165" s="469"/>
      <c r="K165" s="469"/>
      <c r="L165" s="406"/>
      <c r="M165" s="406"/>
      <c r="N165" s="406"/>
      <c r="O165" s="406"/>
      <c r="P165" s="406"/>
    </row>
    <row r="166" spans="1:16" ht="21.75">
      <c r="A166" s="406"/>
      <c r="B166" s="406"/>
      <c r="C166" s="406"/>
      <c r="D166" s="406"/>
      <c r="E166" s="406"/>
      <c r="F166" s="406"/>
      <c r="G166" s="406"/>
      <c r="H166" s="406"/>
      <c r="I166" s="406"/>
      <c r="J166" s="469"/>
      <c r="K166" s="469"/>
      <c r="L166" s="406"/>
      <c r="M166" s="406"/>
      <c r="N166" s="406"/>
      <c r="O166" s="406"/>
      <c r="P166" s="406"/>
    </row>
  </sheetData>
  <sheetProtection/>
  <mergeCells count="8">
    <mergeCell ref="Q2:V2"/>
    <mergeCell ref="Q3:U3"/>
    <mergeCell ref="A1:V1"/>
    <mergeCell ref="A2:D4"/>
    <mergeCell ref="E2:J2"/>
    <mergeCell ref="K2:P2"/>
    <mergeCell ref="E3:I3"/>
    <mergeCell ref="K3:O3"/>
  </mergeCells>
  <printOptions horizontalCentered="1" verticalCentered="1"/>
  <pageMargins left="0.118110236220472" right="0.118110236220472" top="0.748031496062992" bottom="0.748031496062992" header="0.31496062992126" footer="0.31496062992126"/>
  <pageSetup horizontalDpi="600" verticalDpi="600" orientation="landscape" paperSize="9" scale="85" r:id="rId1"/>
  <headerFooter alignWithMargins="0">
    <oddFooter>&amp;L&amp;10กลุ่มภารกิจยุทธสาสตร์และแผนงาน&amp;C&amp;10 ข้อมูล ณ วันที  23 พฤศจิกายน  2553&amp;R&amp;10FTES  1 และ  2 - 53  หน้า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V166"/>
  <sheetViews>
    <sheetView zoomScale="120" zoomScaleNormal="120" zoomScaleSheetLayoutView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157" sqref="K157"/>
    </sheetView>
  </sheetViews>
  <sheetFormatPr defaultColWidth="9.140625" defaultRowHeight="21.75"/>
  <cols>
    <col min="1" max="1" width="1.8515625" style="339" customWidth="1"/>
    <col min="2" max="3" width="2.28125" style="339" customWidth="1"/>
    <col min="4" max="4" width="34.00390625" style="339" customWidth="1"/>
    <col min="5" max="5" width="9.7109375" style="339" customWidth="1"/>
    <col min="6" max="8" width="7.8515625" style="339" customWidth="1"/>
    <col min="9" max="9" width="8.7109375" style="339" bestFit="1" customWidth="1"/>
    <col min="10" max="11" width="9.7109375" style="374" customWidth="1"/>
    <col min="12" max="15" width="7.8515625" style="339" customWidth="1"/>
    <col min="16" max="16" width="10.421875" style="339" customWidth="1"/>
    <col min="17" max="17" width="9.7109375" style="339" bestFit="1" customWidth="1"/>
    <col min="18" max="18" width="10.421875" style="339" customWidth="1"/>
    <col min="19" max="16384" width="9.140625" style="339" customWidth="1"/>
  </cols>
  <sheetData>
    <row r="1" spans="1:18" ht="21.75" customHeight="1">
      <c r="A1" s="527" t="s">
        <v>309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</row>
    <row r="2" spans="1:18" ht="21.75" customHeight="1">
      <c r="A2" s="551" t="s">
        <v>4</v>
      </c>
      <c r="B2" s="552"/>
      <c r="C2" s="552"/>
      <c r="D2" s="552"/>
      <c r="E2" s="557" t="s">
        <v>2</v>
      </c>
      <c r="F2" s="557"/>
      <c r="G2" s="557"/>
      <c r="H2" s="557"/>
      <c r="I2" s="557"/>
      <c r="J2" s="557"/>
      <c r="K2" s="558" t="s">
        <v>310</v>
      </c>
      <c r="L2" s="558"/>
      <c r="M2" s="558"/>
      <c r="N2" s="558"/>
      <c r="O2" s="558"/>
      <c r="P2" s="558"/>
      <c r="Q2" s="521" t="s">
        <v>3</v>
      </c>
      <c r="R2" s="522"/>
    </row>
    <row r="3" spans="1:22" ht="21.75" customHeight="1">
      <c r="A3" s="553"/>
      <c r="B3" s="553"/>
      <c r="C3" s="553"/>
      <c r="D3" s="553"/>
      <c r="E3" s="559" t="s">
        <v>5</v>
      </c>
      <c r="F3" s="559"/>
      <c r="G3" s="559"/>
      <c r="H3" s="559"/>
      <c r="I3" s="559"/>
      <c r="J3" s="471" t="s">
        <v>3</v>
      </c>
      <c r="K3" s="559" t="s">
        <v>5</v>
      </c>
      <c r="L3" s="559"/>
      <c r="M3" s="559"/>
      <c r="N3" s="559"/>
      <c r="O3" s="559"/>
      <c r="P3" s="470" t="s">
        <v>3</v>
      </c>
      <c r="Q3" s="471" t="s">
        <v>6</v>
      </c>
      <c r="R3" s="471" t="s">
        <v>7</v>
      </c>
      <c r="T3" s="458"/>
      <c r="U3" s="458"/>
      <c r="V3" s="458"/>
    </row>
    <row r="4" spans="1:22" ht="18.75">
      <c r="A4" s="553"/>
      <c r="B4" s="553"/>
      <c r="C4" s="553"/>
      <c r="D4" s="553"/>
      <c r="E4" s="470" t="s">
        <v>8</v>
      </c>
      <c r="F4" s="470" t="s">
        <v>9</v>
      </c>
      <c r="G4" s="470" t="s">
        <v>10</v>
      </c>
      <c r="H4" s="470" t="s">
        <v>11</v>
      </c>
      <c r="I4" s="470" t="s">
        <v>12</v>
      </c>
      <c r="J4" s="471" t="s">
        <v>13</v>
      </c>
      <c r="K4" s="471" t="s">
        <v>8</v>
      </c>
      <c r="L4" s="470" t="s">
        <v>9</v>
      </c>
      <c r="M4" s="470" t="s">
        <v>10</v>
      </c>
      <c r="N4" s="470" t="s">
        <v>11</v>
      </c>
      <c r="O4" s="470" t="s">
        <v>12</v>
      </c>
      <c r="P4" s="470" t="s">
        <v>13</v>
      </c>
      <c r="Q4" s="471"/>
      <c r="R4" s="504"/>
      <c r="T4" s="458"/>
      <c r="U4" s="458"/>
      <c r="V4" s="458"/>
    </row>
    <row r="5" spans="1:22" ht="19.5">
      <c r="A5" s="481" t="s">
        <v>14</v>
      </c>
      <c r="B5" s="482"/>
      <c r="C5" s="482"/>
      <c r="D5" s="482"/>
      <c r="E5" s="472">
        <v>702.59</v>
      </c>
      <c r="F5" s="472">
        <f>F6+F16+F62+F64+F70+F107+F132+F138</f>
        <v>89.25</v>
      </c>
      <c r="G5" s="472">
        <v>568.42</v>
      </c>
      <c r="H5" s="472">
        <f>H6+H16+H62+H64+H70+H107+H132+H138</f>
        <v>9</v>
      </c>
      <c r="I5" s="472">
        <v>1002.01</v>
      </c>
      <c r="J5" s="472">
        <f aca="true" t="shared" si="0" ref="J5:J14">SUM(E5+I5)</f>
        <v>1704.6</v>
      </c>
      <c r="K5" s="472">
        <f aca="true" t="shared" si="1" ref="K5:Q5">K6+K16+K62+K64+K70+K107+K132+K138+K101+K145+K147+K149</f>
        <v>662.54</v>
      </c>
      <c r="L5" s="472">
        <f t="shared" si="1"/>
        <v>62</v>
      </c>
      <c r="M5" s="472">
        <f t="shared" si="1"/>
        <v>499.59</v>
      </c>
      <c r="N5" s="472">
        <f t="shared" si="1"/>
        <v>9.25</v>
      </c>
      <c r="O5" s="472">
        <f t="shared" si="1"/>
        <v>870.18</v>
      </c>
      <c r="P5" s="472">
        <f t="shared" si="1"/>
        <v>1641.72</v>
      </c>
      <c r="Q5" s="472">
        <f t="shared" si="1"/>
        <v>3387.9700000000003</v>
      </c>
      <c r="R5" s="472">
        <f>SUM(Q5)/2</f>
        <v>1693.9850000000001</v>
      </c>
      <c r="V5" s="459"/>
    </row>
    <row r="6" spans="1:18" ht="19.5">
      <c r="A6" s="483" t="s">
        <v>266</v>
      </c>
      <c r="B6" s="483"/>
      <c r="C6" s="483"/>
      <c r="D6" s="483"/>
      <c r="E6" s="479">
        <f>SUM(E7+E8+E9)</f>
        <v>261.46000000000004</v>
      </c>
      <c r="F6" s="479">
        <f aca="true" t="shared" si="2" ref="F6:Q6">SUM(F7+F8+F9)</f>
        <v>0</v>
      </c>
      <c r="G6" s="479">
        <f>SUM(G7+G8+G9)</f>
        <v>40.75</v>
      </c>
      <c r="H6" s="479">
        <f t="shared" si="2"/>
        <v>0</v>
      </c>
      <c r="I6" s="479">
        <f t="shared" si="2"/>
        <v>61.125</v>
      </c>
      <c r="J6" s="479">
        <f t="shared" si="0"/>
        <v>322.58500000000004</v>
      </c>
      <c r="K6" s="479">
        <f>SUM(K7+K8+K9)</f>
        <v>354.83000000000004</v>
      </c>
      <c r="L6" s="479">
        <f t="shared" si="2"/>
        <v>0</v>
      </c>
      <c r="M6" s="479">
        <f t="shared" si="2"/>
        <v>23.25</v>
      </c>
      <c r="N6" s="479">
        <f t="shared" si="2"/>
        <v>0</v>
      </c>
      <c r="O6" s="479">
        <f t="shared" si="2"/>
        <v>34.875</v>
      </c>
      <c r="P6" s="479">
        <f t="shared" si="2"/>
        <v>389.70500000000004</v>
      </c>
      <c r="Q6" s="479">
        <f t="shared" si="2"/>
        <v>712.29</v>
      </c>
      <c r="R6" s="479">
        <f>SUM(R7+R8+R9)</f>
        <v>356.145</v>
      </c>
    </row>
    <row r="7" spans="1:18" ht="19.5">
      <c r="A7" s="373"/>
      <c r="B7" s="484" t="s">
        <v>205</v>
      </c>
      <c r="C7" s="484"/>
      <c r="D7" s="484"/>
      <c r="E7" s="287">
        <v>0</v>
      </c>
      <c r="F7" s="287">
        <v>0</v>
      </c>
      <c r="G7" s="287">
        <v>0</v>
      </c>
      <c r="H7" s="287">
        <v>0</v>
      </c>
      <c r="I7" s="288">
        <f aca="true" t="shared" si="3" ref="I7:I14">SUM(F7:H7)*1.5</f>
        <v>0</v>
      </c>
      <c r="J7" s="288">
        <f t="shared" si="0"/>
        <v>0</v>
      </c>
      <c r="K7" s="287"/>
      <c r="L7" s="287">
        <v>0</v>
      </c>
      <c r="M7" s="287">
        <v>0</v>
      </c>
      <c r="N7" s="287">
        <v>0</v>
      </c>
      <c r="O7" s="288">
        <f>SUM(L7:N7)*1.5</f>
        <v>0</v>
      </c>
      <c r="P7" s="288">
        <f>K7+O7</f>
        <v>0</v>
      </c>
      <c r="Q7" s="288">
        <f>J7+P7</f>
        <v>0</v>
      </c>
      <c r="R7" s="288">
        <f>Q7/2</f>
        <v>0</v>
      </c>
    </row>
    <row r="8" spans="1:18" ht="19.5">
      <c r="A8" s="373"/>
      <c r="B8" s="484" t="s">
        <v>206</v>
      </c>
      <c r="C8" s="484"/>
      <c r="D8" s="484"/>
      <c r="E8" s="287">
        <v>114.12</v>
      </c>
      <c r="F8" s="287">
        <v>0</v>
      </c>
      <c r="G8" s="287">
        <v>0</v>
      </c>
      <c r="H8" s="287">
        <v>0</v>
      </c>
      <c r="I8" s="288">
        <f t="shared" si="3"/>
        <v>0</v>
      </c>
      <c r="J8" s="288">
        <f t="shared" si="0"/>
        <v>114.12</v>
      </c>
      <c r="K8" s="287">
        <v>103.17</v>
      </c>
      <c r="L8" s="287">
        <v>0</v>
      </c>
      <c r="M8" s="287">
        <v>0</v>
      </c>
      <c r="N8" s="287">
        <v>0</v>
      </c>
      <c r="O8" s="288">
        <f>SUM(L8:N8)*1.5</f>
        <v>0</v>
      </c>
      <c r="P8" s="288">
        <f>K8+O8</f>
        <v>103.17</v>
      </c>
      <c r="Q8" s="288">
        <f>J8+P8</f>
        <v>217.29000000000002</v>
      </c>
      <c r="R8" s="288">
        <f>Q8/2</f>
        <v>108.64500000000001</v>
      </c>
    </row>
    <row r="9" spans="1:18" ht="19.5">
      <c r="A9" s="373"/>
      <c r="B9" s="484" t="s">
        <v>207</v>
      </c>
      <c r="C9" s="484"/>
      <c r="D9" s="484"/>
      <c r="E9" s="287">
        <f>SUM(E10:E13)</f>
        <v>147.34</v>
      </c>
      <c r="F9" s="287">
        <f>SUM(F10:F13)</f>
        <v>0</v>
      </c>
      <c r="G9" s="287">
        <f>SUM(G10:G13)</f>
        <v>40.75</v>
      </c>
      <c r="H9" s="287">
        <f>SUM(H10:H13)</f>
        <v>0</v>
      </c>
      <c r="I9" s="287">
        <f t="shared" si="3"/>
        <v>61.125</v>
      </c>
      <c r="J9" s="287">
        <f t="shared" si="0"/>
        <v>208.465</v>
      </c>
      <c r="K9" s="287">
        <f aca="true" t="shared" si="4" ref="K9:P9">SUM(K10:K13)</f>
        <v>251.66000000000003</v>
      </c>
      <c r="L9" s="287">
        <f t="shared" si="4"/>
        <v>0</v>
      </c>
      <c r="M9" s="287">
        <f t="shared" si="4"/>
        <v>23.25</v>
      </c>
      <c r="N9" s="287">
        <f t="shared" si="4"/>
        <v>0</v>
      </c>
      <c r="O9" s="287">
        <f t="shared" si="4"/>
        <v>34.875</v>
      </c>
      <c r="P9" s="287">
        <f t="shared" si="4"/>
        <v>286.535</v>
      </c>
      <c r="Q9" s="287">
        <f>SUM(J9+P9)</f>
        <v>495</v>
      </c>
      <c r="R9" s="287">
        <f>SUM(Q9/2)</f>
        <v>247.5</v>
      </c>
    </row>
    <row r="10" spans="1:18" ht="19.5">
      <c r="A10" s="373"/>
      <c r="B10" s="485"/>
      <c r="C10" s="485"/>
      <c r="D10" s="485" t="s">
        <v>201</v>
      </c>
      <c r="E10" s="290">
        <v>147.34</v>
      </c>
      <c r="F10" s="287">
        <v>0</v>
      </c>
      <c r="G10" s="287">
        <v>0</v>
      </c>
      <c r="H10" s="287">
        <v>0</v>
      </c>
      <c r="I10" s="287">
        <f t="shared" si="3"/>
        <v>0</v>
      </c>
      <c r="J10" s="287">
        <f t="shared" si="0"/>
        <v>147.34</v>
      </c>
      <c r="K10" s="287">
        <f>15+27.67+3.67+31.67+16.33+25.33+25.01+41.99</f>
        <v>186.67000000000002</v>
      </c>
      <c r="L10" s="287">
        <v>0</v>
      </c>
      <c r="M10" s="287">
        <v>0</v>
      </c>
      <c r="N10" s="287">
        <v>0</v>
      </c>
      <c r="O10" s="288">
        <f aca="true" t="shared" si="5" ref="O10:O15">SUM(L10:N10)*1.5</f>
        <v>0</v>
      </c>
      <c r="P10" s="288">
        <f>K10+O10</f>
        <v>186.67000000000002</v>
      </c>
      <c r="Q10" s="288">
        <f>J10+P10</f>
        <v>334.01</v>
      </c>
      <c r="R10" s="288">
        <f>Q10/2</f>
        <v>167.005</v>
      </c>
    </row>
    <row r="11" spans="1:18" ht="19.5">
      <c r="A11" s="373"/>
      <c r="B11" s="485"/>
      <c r="C11" s="485"/>
      <c r="D11" s="485" t="s">
        <v>202</v>
      </c>
      <c r="E11" s="287">
        <v>0</v>
      </c>
      <c r="F11" s="287">
        <v>0</v>
      </c>
      <c r="G11" s="287">
        <v>0</v>
      </c>
      <c r="H11" s="287">
        <v>0</v>
      </c>
      <c r="I11" s="287">
        <f t="shared" si="3"/>
        <v>0</v>
      </c>
      <c r="J11" s="287">
        <f t="shared" si="0"/>
        <v>0</v>
      </c>
      <c r="K11" s="287">
        <f>10+8</f>
        <v>18</v>
      </c>
      <c r="L11" s="287">
        <v>0</v>
      </c>
      <c r="M11" s="287">
        <v>0</v>
      </c>
      <c r="N11" s="287">
        <v>0</v>
      </c>
      <c r="O11" s="288">
        <f t="shared" si="5"/>
        <v>0</v>
      </c>
      <c r="P11" s="288">
        <f>K11+O11</f>
        <v>18</v>
      </c>
      <c r="Q11" s="288">
        <f>J11+P11</f>
        <v>18</v>
      </c>
      <c r="R11" s="288">
        <f>Q11/2</f>
        <v>9</v>
      </c>
    </row>
    <row r="12" spans="1:18" ht="19.5">
      <c r="A12" s="373"/>
      <c r="B12" s="485"/>
      <c r="C12" s="485"/>
      <c r="D12" s="485" t="s">
        <v>203</v>
      </c>
      <c r="E12" s="290">
        <v>0</v>
      </c>
      <c r="F12" s="287">
        <v>0</v>
      </c>
      <c r="G12" s="287">
        <v>0</v>
      </c>
      <c r="H12" s="287">
        <v>0</v>
      </c>
      <c r="I12" s="287">
        <f t="shared" si="3"/>
        <v>0</v>
      </c>
      <c r="J12" s="287">
        <f t="shared" si="0"/>
        <v>0</v>
      </c>
      <c r="K12" s="287">
        <f>8.33+4.83+3.5</f>
        <v>16.66</v>
      </c>
      <c r="L12" s="287">
        <v>0</v>
      </c>
      <c r="M12" s="287">
        <v>0</v>
      </c>
      <c r="N12" s="287">
        <v>0</v>
      </c>
      <c r="O12" s="288">
        <f t="shared" si="5"/>
        <v>0</v>
      </c>
      <c r="P12" s="288">
        <f>K12+O12</f>
        <v>16.66</v>
      </c>
      <c r="Q12" s="288">
        <f>J12+P12</f>
        <v>16.66</v>
      </c>
      <c r="R12" s="288">
        <f>Q12/2</f>
        <v>8.33</v>
      </c>
    </row>
    <row r="13" spans="1:20" ht="19.5">
      <c r="A13" s="373"/>
      <c r="B13" s="485"/>
      <c r="C13" s="485"/>
      <c r="D13" s="485" t="s">
        <v>314</v>
      </c>
      <c r="E13" s="287">
        <v>0</v>
      </c>
      <c r="F13" s="287">
        <v>0</v>
      </c>
      <c r="G13" s="287">
        <v>40.75</v>
      </c>
      <c r="H13" s="287">
        <v>0</v>
      </c>
      <c r="I13" s="287">
        <f t="shared" si="3"/>
        <v>61.125</v>
      </c>
      <c r="J13" s="287">
        <f t="shared" si="0"/>
        <v>61.125</v>
      </c>
      <c r="K13" s="287">
        <f>7.5+9.33+6.17+7.33</f>
        <v>30.33</v>
      </c>
      <c r="L13" s="287">
        <v>0</v>
      </c>
      <c r="M13" s="287">
        <v>23.25</v>
      </c>
      <c r="N13" s="287">
        <v>0</v>
      </c>
      <c r="O13" s="288">
        <f t="shared" si="5"/>
        <v>34.875</v>
      </c>
      <c r="P13" s="288">
        <f>K13+O13</f>
        <v>65.205</v>
      </c>
      <c r="Q13" s="288">
        <f>J13+P13</f>
        <v>126.33</v>
      </c>
      <c r="R13" s="288">
        <f>Q13/2</f>
        <v>63.165</v>
      </c>
      <c r="S13" s="460"/>
      <c r="T13" s="339" t="s">
        <v>294</v>
      </c>
    </row>
    <row r="14" spans="1:18" ht="19.5">
      <c r="A14" s="486"/>
      <c r="B14" s="22"/>
      <c r="C14" s="22"/>
      <c r="D14" s="486" t="s">
        <v>197</v>
      </c>
      <c r="E14" s="315">
        <v>0</v>
      </c>
      <c r="F14" s="315">
        <v>0</v>
      </c>
      <c r="G14" s="315">
        <v>9.5</v>
      </c>
      <c r="H14" s="315">
        <v>0</v>
      </c>
      <c r="I14" s="487">
        <f t="shared" si="3"/>
        <v>14.25</v>
      </c>
      <c r="J14" s="487">
        <f t="shared" si="0"/>
        <v>14.25</v>
      </c>
      <c r="K14" s="315">
        <v>0</v>
      </c>
      <c r="L14" s="315">
        <v>0</v>
      </c>
      <c r="M14" s="315">
        <v>9.5</v>
      </c>
      <c r="N14" s="315">
        <v>0</v>
      </c>
      <c r="O14" s="315">
        <f t="shared" si="5"/>
        <v>14.25</v>
      </c>
      <c r="P14" s="316">
        <f>K14+O14</f>
        <v>14.25</v>
      </c>
      <c r="Q14" s="316">
        <f>J14+P14</f>
        <v>28.5</v>
      </c>
      <c r="R14" s="316">
        <f>Q14/2</f>
        <v>14.25</v>
      </c>
    </row>
    <row r="15" spans="1:18" ht="19.5" hidden="1">
      <c r="A15" s="485" t="s">
        <v>24</v>
      </c>
      <c r="B15" s="485"/>
      <c r="C15" s="485"/>
      <c r="D15" s="485"/>
      <c r="E15" s="287"/>
      <c r="F15" s="287"/>
      <c r="G15" s="287"/>
      <c r="H15" s="287"/>
      <c r="I15" s="288"/>
      <c r="J15" s="288"/>
      <c r="K15" s="287"/>
      <c r="L15" s="287"/>
      <c r="M15" s="287"/>
      <c r="N15" s="287"/>
      <c r="O15" s="288">
        <f t="shared" si="5"/>
        <v>0</v>
      </c>
      <c r="P15" s="288"/>
      <c r="Q15" s="288"/>
      <c r="R15" s="288"/>
    </row>
    <row r="16" spans="1:18" ht="19.5">
      <c r="A16" s="483" t="s">
        <v>267</v>
      </c>
      <c r="B16" s="483"/>
      <c r="C16" s="483"/>
      <c r="D16" s="483"/>
      <c r="E16" s="479">
        <f>SUM(E17+E51+E57)</f>
        <v>10.6</v>
      </c>
      <c r="F16" s="479">
        <f aca="true" t="shared" si="6" ref="F16:R16">SUM(F17+F51+F57)</f>
        <v>89.25</v>
      </c>
      <c r="G16" s="479">
        <f t="shared" si="6"/>
        <v>467.41999999999996</v>
      </c>
      <c r="H16" s="479">
        <f t="shared" si="6"/>
        <v>9</v>
      </c>
      <c r="I16" s="479">
        <f t="shared" si="6"/>
        <v>848.505</v>
      </c>
      <c r="J16" s="479">
        <f>SUM(E16+I16)</f>
        <v>859.105</v>
      </c>
      <c r="K16" s="479">
        <f>SUM(K17+K51+K57)</f>
        <v>0</v>
      </c>
      <c r="L16" s="479">
        <f>SUM(L17+L51+L57)</f>
        <v>62</v>
      </c>
      <c r="M16" s="479">
        <f t="shared" si="6"/>
        <v>384.91999999999996</v>
      </c>
      <c r="N16" s="479">
        <f t="shared" si="6"/>
        <v>9</v>
      </c>
      <c r="O16" s="479">
        <f t="shared" si="6"/>
        <v>683.88</v>
      </c>
      <c r="P16" s="479">
        <f t="shared" si="6"/>
        <v>778.88</v>
      </c>
      <c r="Q16" s="479">
        <f t="shared" si="6"/>
        <v>1637.9850000000001</v>
      </c>
      <c r="R16" s="479">
        <f t="shared" si="6"/>
        <v>818.9925000000001</v>
      </c>
    </row>
    <row r="17" spans="1:18" ht="19.5">
      <c r="A17" s="484"/>
      <c r="B17" s="488" t="s">
        <v>167</v>
      </c>
      <c r="C17" s="484"/>
      <c r="D17" s="484"/>
      <c r="E17" s="287">
        <f>SUM(E18+E24+E29+E34+E40+E46+E47)</f>
        <v>10.6</v>
      </c>
      <c r="F17" s="287">
        <f aca="true" t="shared" si="7" ref="F17:P17">SUM(F18+F24+F29+F34+F40+F46+F47)</f>
        <v>89.25</v>
      </c>
      <c r="G17" s="287">
        <f t="shared" si="7"/>
        <v>467.41999999999996</v>
      </c>
      <c r="H17" s="287">
        <f t="shared" si="7"/>
        <v>9</v>
      </c>
      <c r="I17" s="287">
        <f t="shared" si="7"/>
        <v>848.505</v>
      </c>
      <c r="J17" s="287">
        <f t="shared" si="7"/>
        <v>859.105</v>
      </c>
      <c r="K17" s="287">
        <f>SUM(K18+K24+K29+K34+K40+K46+K47)</f>
        <v>0</v>
      </c>
      <c r="L17" s="287">
        <f t="shared" si="7"/>
        <v>62</v>
      </c>
      <c r="M17" s="287">
        <f t="shared" si="7"/>
        <v>384.91999999999996</v>
      </c>
      <c r="N17" s="287">
        <f t="shared" si="7"/>
        <v>9</v>
      </c>
      <c r="O17" s="287">
        <f t="shared" si="7"/>
        <v>683.88</v>
      </c>
      <c r="P17" s="287">
        <f t="shared" si="7"/>
        <v>778.88</v>
      </c>
      <c r="Q17" s="287">
        <f>SUM(J17+P17)</f>
        <v>1637.9850000000001</v>
      </c>
      <c r="R17" s="287">
        <f>SUM(Q17/2)</f>
        <v>818.9925000000001</v>
      </c>
    </row>
    <row r="18" spans="1:18" ht="19.5">
      <c r="A18" s="465"/>
      <c r="B18" s="489"/>
      <c r="C18" s="481" t="s">
        <v>168</v>
      </c>
      <c r="D18" s="465"/>
      <c r="E18" s="463">
        <f aca="true" t="shared" si="8" ref="E18:K18">SUM(E19:E22)</f>
        <v>0</v>
      </c>
      <c r="F18" s="463">
        <f t="shared" si="8"/>
        <v>15.75</v>
      </c>
      <c r="G18" s="463">
        <f t="shared" si="8"/>
        <v>133</v>
      </c>
      <c r="H18" s="463">
        <f t="shared" si="8"/>
        <v>0</v>
      </c>
      <c r="I18" s="463">
        <f t="shared" si="8"/>
        <v>223.125</v>
      </c>
      <c r="J18" s="463">
        <f t="shared" si="8"/>
        <v>223.125</v>
      </c>
      <c r="K18" s="463">
        <f t="shared" si="8"/>
        <v>0</v>
      </c>
      <c r="L18" s="463">
        <f aca="true" t="shared" si="9" ref="L18:R18">SUM(L19:L22)</f>
        <v>0</v>
      </c>
      <c r="M18" s="463">
        <f t="shared" si="9"/>
        <v>98.25</v>
      </c>
      <c r="N18" s="463">
        <f t="shared" si="9"/>
        <v>0</v>
      </c>
      <c r="O18" s="463">
        <f t="shared" si="9"/>
        <v>147.375</v>
      </c>
      <c r="P18" s="463">
        <f t="shared" si="9"/>
        <v>242.375</v>
      </c>
      <c r="Q18" s="463">
        <f t="shared" si="9"/>
        <v>465.5</v>
      </c>
      <c r="R18" s="463">
        <f t="shared" si="9"/>
        <v>232.75</v>
      </c>
    </row>
    <row r="19" spans="1:18" ht="19.5">
      <c r="A19" s="373"/>
      <c r="B19" s="490"/>
      <c r="C19" s="490"/>
      <c r="D19" s="18" t="s">
        <v>243</v>
      </c>
      <c r="E19" s="290">
        <v>0</v>
      </c>
      <c r="F19" s="288">
        <v>0</v>
      </c>
      <c r="G19" s="288">
        <v>0</v>
      </c>
      <c r="H19" s="288">
        <v>0</v>
      </c>
      <c r="I19" s="288">
        <f>SUM(F19:H19)*1.5</f>
        <v>0</v>
      </c>
      <c r="J19" s="288">
        <f>SUM(E19+I19)</f>
        <v>0</v>
      </c>
      <c r="K19" s="288">
        <v>0</v>
      </c>
      <c r="L19" s="288">
        <v>0</v>
      </c>
      <c r="M19" s="288">
        <v>0</v>
      </c>
      <c r="N19" s="288">
        <v>0</v>
      </c>
      <c r="O19" s="288">
        <f>SUM(L19:N19)*1.5</f>
        <v>0</v>
      </c>
      <c r="P19" s="287">
        <f>K19+O19</f>
        <v>0</v>
      </c>
      <c r="Q19" s="288">
        <f>J19+P19</f>
        <v>0</v>
      </c>
      <c r="R19" s="288">
        <f>Q19/2</f>
        <v>0</v>
      </c>
    </row>
    <row r="20" spans="1:18" ht="19.5">
      <c r="A20" s="373"/>
      <c r="B20" s="490"/>
      <c r="C20" s="490"/>
      <c r="D20" s="18" t="s">
        <v>244</v>
      </c>
      <c r="E20" s="461">
        <v>0</v>
      </c>
      <c r="F20" s="461">
        <v>0</v>
      </c>
      <c r="G20" s="290">
        <v>107.25</v>
      </c>
      <c r="H20" s="288">
        <v>0</v>
      </c>
      <c r="I20" s="288">
        <f>SUM(F20:H20)*1.5</f>
        <v>160.875</v>
      </c>
      <c r="J20" s="288">
        <f>SUM(E20+I20)</f>
        <v>160.875</v>
      </c>
      <c r="K20" s="288">
        <v>0</v>
      </c>
      <c r="L20" s="288">
        <v>0</v>
      </c>
      <c r="M20" s="288">
        <f>2.25+64.75</f>
        <v>67</v>
      </c>
      <c r="N20" s="288">
        <v>0</v>
      </c>
      <c r="O20" s="288">
        <f>SUM(L20:N20)*1.5</f>
        <v>100.5</v>
      </c>
      <c r="P20" s="287">
        <f>M20+O20</f>
        <v>167.5</v>
      </c>
      <c r="Q20" s="288">
        <f>J20+P20</f>
        <v>328.375</v>
      </c>
      <c r="R20" s="288">
        <f>Q20/2</f>
        <v>164.1875</v>
      </c>
    </row>
    <row r="21" spans="1:18" ht="19.5">
      <c r="A21" s="373"/>
      <c r="B21" s="490"/>
      <c r="C21" s="490"/>
      <c r="D21" s="18" t="s">
        <v>245</v>
      </c>
      <c r="E21" s="461">
        <v>0</v>
      </c>
      <c r="F21" s="461">
        <v>0</v>
      </c>
      <c r="G21" s="290">
        <v>25.75</v>
      </c>
      <c r="H21" s="288">
        <v>0</v>
      </c>
      <c r="I21" s="288">
        <f>SUM(F21:H21)*1.5</f>
        <v>38.625</v>
      </c>
      <c r="J21" s="288">
        <f>SUM(E21+I21)</f>
        <v>38.625</v>
      </c>
      <c r="K21" s="288">
        <v>0</v>
      </c>
      <c r="L21" s="288">
        <v>0</v>
      </c>
      <c r="M21" s="288">
        <f>6.83+21.17</f>
        <v>28</v>
      </c>
      <c r="N21" s="288">
        <v>0</v>
      </c>
      <c r="O21" s="288">
        <f>SUM(L21:N21)*1.5</f>
        <v>42</v>
      </c>
      <c r="P21" s="287">
        <f>M21+O21</f>
        <v>70</v>
      </c>
      <c r="Q21" s="288">
        <f>J21+P21</f>
        <v>108.625</v>
      </c>
      <c r="R21" s="288">
        <f>Q21/2</f>
        <v>54.3125</v>
      </c>
    </row>
    <row r="22" spans="1:18" ht="19.5">
      <c r="A22" s="491"/>
      <c r="B22" s="492"/>
      <c r="C22" s="492"/>
      <c r="D22" s="493" t="s">
        <v>242</v>
      </c>
      <c r="E22" s="332">
        <v>0</v>
      </c>
      <c r="F22" s="332">
        <v>15.75</v>
      </c>
      <c r="G22" s="333">
        <v>0</v>
      </c>
      <c r="H22" s="333">
        <v>0</v>
      </c>
      <c r="I22" s="333">
        <f>SUM(F22:H22)*1.5</f>
        <v>23.625</v>
      </c>
      <c r="J22" s="333">
        <f>SUM(E22+I22)</f>
        <v>23.625</v>
      </c>
      <c r="K22" s="333">
        <v>0</v>
      </c>
      <c r="L22" s="333">
        <v>0</v>
      </c>
      <c r="M22" s="333">
        <v>3.25</v>
      </c>
      <c r="N22" s="333">
        <v>0</v>
      </c>
      <c r="O22" s="333">
        <f>SUM(L22:N22)*1.5</f>
        <v>4.875</v>
      </c>
      <c r="P22" s="332">
        <f>K22+O22</f>
        <v>4.875</v>
      </c>
      <c r="Q22" s="333">
        <f>J22+P22</f>
        <v>28.5</v>
      </c>
      <c r="R22" s="333">
        <f>Q22/2</f>
        <v>14.25</v>
      </c>
    </row>
    <row r="23" spans="1:18" ht="19.5">
      <c r="A23" s="486"/>
      <c r="B23" s="494"/>
      <c r="C23" s="494"/>
      <c r="D23" s="22" t="s">
        <v>197</v>
      </c>
      <c r="E23" s="316">
        <v>0</v>
      </c>
      <c r="F23" s="316">
        <v>0</v>
      </c>
      <c r="G23" s="316">
        <v>1</v>
      </c>
      <c r="H23" s="316">
        <v>0</v>
      </c>
      <c r="I23" s="316">
        <f>SUM(F23:H23)*1.5</f>
        <v>1.5</v>
      </c>
      <c r="J23" s="316">
        <f>SUM(E23+I23)</f>
        <v>1.5</v>
      </c>
      <c r="K23" s="316">
        <v>0</v>
      </c>
      <c r="L23" s="316">
        <v>0</v>
      </c>
      <c r="M23" s="316">
        <f>6+23</f>
        <v>29</v>
      </c>
      <c r="N23" s="316">
        <v>0</v>
      </c>
      <c r="O23" s="316">
        <f>SUM(L23:N23)*1.5</f>
        <v>43.5</v>
      </c>
      <c r="P23" s="315">
        <f>K23+O23</f>
        <v>43.5</v>
      </c>
      <c r="Q23" s="316">
        <f>J23+P23</f>
        <v>45</v>
      </c>
      <c r="R23" s="316">
        <f>Q23/2</f>
        <v>22.5</v>
      </c>
    </row>
    <row r="24" spans="1:18" ht="19.5">
      <c r="A24" s="465"/>
      <c r="B24" s="489"/>
      <c r="C24" s="481" t="s">
        <v>173</v>
      </c>
      <c r="D24" s="465"/>
      <c r="E24" s="462">
        <f>SUM(E25:E26)+E28</f>
        <v>0</v>
      </c>
      <c r="F24" s="462">
        <f aca="true" t="shared" si="10" ref="F24:P24">SUM(F25:F26)+F28</f>
        <v>26.25</v>
      </c>
      <c r="G24" s="462">
        <f t="shared" si="10"/>
        <v>19.25</v>
      </c>
      <c r="H24" s="462">
        <f t="shared" si="10"/>
        <v>0</v>
      </c>
      <c r="I24" s="462">
        <f t="shared" si="10"/>
        <v>68.25</v>
      </c>
      <c r="J24" s="462">
        <f t="shared" si="10"/>
        <v>68.25</v>
      </c>
      <c r="K24" s="462">
        <f>SUM(K25:K26)+K28</f>
        <v>0</v>
      </c>
      <c r="L24" s="462">
        <f t="shared" si="10"/>
        <v>62</v>
      </c>
      <c r="M24" s="462">
        <f t="shared" si="10"/>
        <v>33.5</v>
      </c>
      <c r="N24" s="462">
        <f t="shared" si="10"/>
        <v>0</v>
      </c>
      <c r="O24" s="462">
        <f t="shared" si="10"/>
        <v>143.25</v>
      </c>
      <c r="P24" s="462">
        <f t="shared" si="10"/>
        <v>143.25</v>
      </c>
      <c r="Q24" s="462">
        <f>SUM(J24+P24)</f>
        <v>211.5</v>
      </c>
      <c r="R24" s="462">
        <f>SUM(Q24/2)</f>
        <v>105.75</v>
      </c>
    </row>
    <row r="25" spans="1:18" ht="19.5">
      <c r="A25" s="373"/>
      <c r="B25" s="490"/>
      <c r="C25" s="484"/>
      <c r="D25" s="18" t="s">
        <v>247</v>
      </c>
      <c r="E25" s="287">
        <v>0</v>
      </c>
      <c r="F25" s="287">
        <v>0</v>
      </c>
      <c r="G25" s="287">
        <v>13</v>
      </c>
      <c r="H25" s="287">
        <v>0</v>
      </c>
      <c r="I25" s="288">
        <f>SUM(F25:H25)*1.5</f>
        <v>19.5</v>
      </c>
      <c r="J25" s="293">
        <f>SUM(E25+I25)</f>
        <v>19.5</v>
      </c>
      <c r="K25" s="287">
        <v>0</v>
      </c>
      <c r="L25" s="287">
        <v>0</v>
      </c>
      <c r="M25" s="287">
        <f>1.75+21.75</f>
        <v>23.5</v>
      </c>
      <c r="N25" s="287">
        <v>0</v>
      </c>
      <c r="O25" s="288">
        <f>SUM(L25:N25)*1.5</f>
        <v>35.25</v>
      </c>
      <c r="P25" s="287">
        <f>K25+O25</f>
        <v>35.25</v>
      </c>
      <c r="Q25" s="293">
        <f>J25+P25</f>
        <v>54.75</v>
      </c>
      <c r="R25" s="293">
        <f>Q25/2</f>
        <v>27.375</v>
      </c>
    </row>
    <row r="26" spans="1:18" ht="19.5">
      <c r="A26" s="491"/>
      <c r="B26" s="492"/>
      <c r="C26" s="495"/>
      <c r="D26" s="493" t="s">
        <v>242</v>
      </c>
      <c r="E26" s="332">
        <v>0</v>
      </c>
      <c r="F26" s="332">
        <v>26.25</v>
      </c>
      <c r="G26" s="332">
        <v>6.25</v>
      </c>
      <c r="H26" s="332">
        <v>0</v>
      </c>
      <c r="I26" s="333">
        <f>SUM(F26:H26)*1.5</f>
        <v>48.75</v>
      </c>
      <c r="J26" s="335">
        <f>SUM(E26+I26)</f>
        <v>48.75</v>
      </c>
      <c r="K26" s="332">
        <v>0</v>
      </c>
      <c r="L26" s="332">
        <v>0</v>
      </c>
      <c r="M26" s="332">
        <f>0.25+6.25+3.5</f>
        <v>10</v>
      </c>
      <c r="N26" s="332">
        <v>0</v>
      </c>
      <c r="O26" s="333">
        <f>SUM(L26:N26)*1.5</f>
        <v>15</v>
      </c>
      <c r="P26" s="332">
        <f>K26+O26</f>
        <v>15</v>
      </c>
      <c r="Q26" s="335">
        <f>J26+P26</f>
        <v>63.75</v>
      </c>
      <c r="R26" s="335">
        <f>Q26/2</f>
        <v>31.875</v>
      </c>
    </row>
    <row r="27" spans="1:18" ht="19.5">
      <c r="A27" s="486"/>
      <c r="B27" s="494"/>
      <c r="C27" s="496"/>
      <c r="D27" s="22" t="s">
        <v>197</v>
      </c>
      <c r="E27" s="315">
        <v>0</v>
      </c>
      <c r="F27" s="315">
        <v>0</v>
      </c>
      <c r="G27" s="315">
        <v>21</v>
      </c>
      <c r="H27" s="315">
        <v>0</v>
      </c>
      <c r="I27" s="316">
        <f>SUM(F27:H27)*1.5</f>
        <v>31.5</v>
      </c>
      <c r="J27" s="322">
        <f>SUM(E27+I27)</f>
        <v>31.5</v>
      </c>
      <c r="K27" s="315">
        <v>0</v>
      </c>
      <c r="L27" s="315">
        <v>0</v>
      </c>
      <c r="M27" s="315">
        <f>1+0.5</f>
        <v>1.5</v>
      </c>
      <c r="N27" s="315">
        <v>0</v>
      </c>
      <c r="O27" s="316">
        <f>SUM(L27:N27)*1.5</f>
        <v>2.25</v>
      </c>
      <c r="P27" s="315">
        <f>K27+O27</f>
        <v>2.25</v>
      </c>
      <c r="Q27" s="322">
        <f>J27+P27</f>
        <v>33.75</v>
      </c>
      <c r="R27" s="322">
        <f>Q27/2</f>
        <v>16.875</v>
      </c>
    </row>
    <row r="28" spans="1:18" ht="19.5">
      <c r="A28" s="373"/>
      <c r="B28" s="490"/>
      <c r="C28" s="484"/>
      <c r="D28" s="485" t="s">
        <v>246</v>
      </c>
      <c r="E28" s="287">
        <v>0</v>
      </c>
      <c r="F28" s="287">
        <v>0</v>
      </c>
      <c r="G28" s="287">
        <v>0</v>
      </c>
      <c r="H28" s="287">
        <v>0</v>
      </c>
      <c r="I28" s="288">
        <f>SUM(F28:H28)*1.5</f>
        <v>0</v>
      </c>
      <c r="J28" s="293">
        <f>SUM(E28+I28)</f>
        <v>0</v>
      </c>
      <c r="K28" s="287">
        <v>0</v>
      </c>
      <c r="L28" s="287">
        <f>31+31</f>
        <v>62</v>
      </c>
      <c r="M28" s="287">
        <v>0</v>
      </c>
      <c r="N28" s="287">
        <v>0</v>
      </c>
      <c r="O28" s="288">
        <f>SUM(L28:N28)*1.5</f>
        <v>93</v>
      </c>
      <c r="P28" s="287">
        <f>K28+O28</f>
        <v>93</v>
      </c>
      <c r="Q28" s="293">
        <f>J28+P28</f>
        <v>93</v>
      </c>
      <c r="R28" s="293">
        <f>Q28/2</f>
        <v>46.5</v>
      </c>
    </row>
    <row r="29" spans="1:18" ht="19.5">
      <c r="A29" s="465"/>
      <c r="B29" s="489"/>
      <c r="C29" s="481" t="s">
        <v>169</v>
      </c>
      <c r="D29" s="465"/>
      <c r="E29" s="462">
        <f>SUM(E30:E32)</f>
        <v>0</v>
      </c>
      <c r="F29" s="462">
        <f aca="true" t="shared" si="11" ref="F29:R29">SUM(F30:F32)</f>
        <v>15.75</v>
      </c>
      <c r="G29" s="462">
        <f t="shared" si="11"/>
        <v>1.67</v>
      </c>
      <c r="H29" s="462">
        <f t="shared" si="11"/>
        <v>0</v>
      </c>
      <c r="I29" s="462">
        <f t="shared" si="11"/>
        <v>26.130000000000003</v>
      </c>
      <c r="J29" s="462">
        <f t="shared" si="11"/>
        <v>26.130000000000003</v>
      </c>
      <c r="K29" s="462">
        <f>SUM(K30:K32)</f>
        <v>0</v>
      </c>
      <c r="L29" s="462">
        <f>SUM(L30:L32)</f>
        <v>0</v>
      </c>
      <c r="M29" s="462">
        <f t="shared" si="11"/>
        <v>6.67</v>
      </c>
      <c r="N29" s="462">
        <f t="shared" si="11"/>
        <v>0</v>
      </c>
      <c r="O29" s="462">
        <f t="shared" si="11"/>
        <v>10.004999999999999</v>
      </c>
      <c r="P29" s="462">
        <f t="shared" si="11"/>
        <v>10.004999999999999</v>
      </c>
      <c r="Q29" s="462">
        <f t="shared" si="11"/>
        <v>36.135000000000005</v>
      </c>
      <c r="R29" s="462">
        <f t="shared" si="11"/>
        <v>18.067500000000003</v>
      </c>
    </row>
    <row r="30" spans="1:18" ht="19.5">
      <c r="A30" s="373"/>
      <c r="B30" s="490"/>
      <c r="C30" s="484"/>
      <c r="D30" s="18" t="s">
        <v>248</v>
      </c>
      <c r="E30" s="290">
        <v>0</v>
      </c>
      <c r="F30" s="290">
        <v>0</v>
      </c>
      <c r="G30" s="290">
        <v>0</v>
      </c>
      <c r="H30" s="287">
        <v>0</v>
      </c>
      <c r="I30" s="288">
        <f>SUM(F30:H30)*1.5</f>
        <v>0</v>
      </c>
      <c r="J30" s="293">
        <f>SUM(E30+I30)</f>
        <v>0</v>
      </c>
      <c r="K30" s="287">
        <v>0</v>
      </c>
      <c r="L30" s="287">
        <v>0</v>
      </c>
      <c r="M30" s="287">
        <v>0</v>
      </c>
      <c r="N30" s="287">
        <v>0</v>
      </c>
      <c r="O30" s="288">
        <f>SUM(L30:N30)*1.5</f>
        <v>0</v>
      </c>
      <c r="P30" s="287">
        <f>K30+O30</f>
        <v>0</v>
      </c>
      <c r="Q30" s="293">
        <f>J30+P30</f>
        <v>0</v>
      </c>
      <c r="R30" s="293">
        <f>Q30/2</f>
        <v>0</v>
      </c>
    </row>
    <row r="31" spans="1:18" ht="19.5">
      <c r="A31" s="373"/>
      <c r="B31" s="490"/>
      <c r="C31" s="484"/>
      <c r="D31" s="18" t="s">
        <v>249</v>
      </c>
      <c r="E31" s="287">
        <v>0</v>
      </c>
      <c r="F31" s="287">
        <v>0</v>
      </c>
      <c r="G31" s="294">
        <v>0</v>
      </c>
      <c r="H31" s="287">
        <v>0</v>
      </c>
      <c r="I31" s="288">
        <f>SUM(F31:H31)*1.5</f>
        <v>0</v>
      </c>
      <c r="J31" s="293">
        <f>SUM(E31+I31)</f>
        <v>0</v>
      </c>
      <c r="K31" s="287">
        <v>0</v>
      </c>
      <c r="L31" s="287">
        <v>0</v>
      </c>
      <c r="M31" s="287">
        <v>5</v>
      </c>
      <c r="N31" s="287">
        <v>0</v>
      </c>
      <c r="O31" s="288">
        <f>SUM(L31:N31)*1.5</f>
        <v>7.5</v>
      </c>
      <c r="P31" s="287">
        <f>K31+O31</f>
        <v>7.5</v>
      </c>
      <c r="Q31" s="293">
        <f>J31+P31</f>
        <v>7.5</v>
      </c>
      <c r="R31" s="293">
        <f>Q31/2</f>
        <v>3.75</v>
      </c>
    </row>
    <row r="32" spans="1:18" ht="19.5">
      <c r="A32" s="491"/>
      <c r="B32" s="492"/>
      <c r="C32" s="495"/>
      <c r="D32" s="493" t="s">
        <v>242</v>
      </c>
      <c r="E32" s="336"/>
      <c r="F32" s="336">
        <v>15.75</v>
      </c>
      <c r="G32" s="332">
        <v>1.67</v>
      </c>
      <c r="H32" s="332">
        <v>0</v>
      </c>
      <c r="I32" s="333">
        <f>SUM(F32:H32)*1.5</f>
        <v>26.130000000000003</v>
      </c>
      <c r="J32" s="335">
        <f>SUM(E32+I32)</f>
        <v>26.130000000000003</v>
      </c>
      <c r="K32" s="332"/>
      <c r="L32" s="332"/>
      <c r="M32" s="332">
        <v>1.67</v>
      </c>
      <c r="N32" s="332">
        <v>0</v>
      </c>
      <c r="O32" s="333">
        <f>SUM(L32:N32)*1.5</f>
        <v>2.505</v>
      </c>
      <c r="P32" s="332">
        <f>K32+O32</f>
        <v>2.505</v>
      </c>
      <c r="Q32" s="335">
        <f>J32+P32</f>
        <v>28.635</v>
      </c>
      <c r="R32" s="335">
        <f>Q32/2</f>
        <v>14.3175</v>
      </c>
    </row>
    <row r="33" spans="1:18" ht="19.5">
      <c r="A33" s="486"/>
      <c r="B33" s="494"/>
      <c r="C33" s="496"/>
      <c r="D33" s="22" t="s">
        <v>197</v>
      </c>
      <c r="E33" s="315">
        <v>0</v>
      </c>
      <c r="F33" s="315">
        <v>0</v>
      </c>
      <c r="G33" s="315">
        <v>0</v>
      </c>
      <c r="H33" s="315">
        <v>0</v>
      </c>
      <c r="I33" s="316">
        <f>SUM(F33:H33)*1.5</f>
        <v>0</v>
      </c>
      <c r="J33" s="322">
        <f>SUM(E33+I33)</f>
        <v>0</v>
      </c>
      <c r="K33" s="315">
        <v>0</v>
      </c>
      <c r="L33" s="315">
        <v>0</v>
      </c>
      <c r="M33" s="315">
        <v>4</v>
      </c>
      <c r="N33" s="315">
        <v>0</v>
      </c>
      <c r="O33" s="316">
        <f>SUM(L33:N33)*1.5</f>
        <v>6</v>
      </c>
      <c r="P33" s="315">
        <f>K33+O33</f>
        <v>6</v>
      </c>
      <c r="Q33" s="322">
        <f>J33+P33</f>
        <v>6</v>
      </c>
      <c r="R33" s="322">
        <f>Q33/2</f>
        <v>3</v>
      </c>
    </row>
    <row r="34" spans="1:18" ht="19.5">
      <c r="A34" s="465"/>
      <c r="B34" s="489"/>
      <c r="C34" s="481" t="s">
        <v>170</v>
      </c>
      <c r="D34" s="465"/>
      <c r="E34" s="462">
        <f>SUM(E35:E37)</f>
        <v>0</v>
      </c>
      <c r="F34" s="462">
        <f aca="true" t="shared" si="12" ref="F34:O34">SUM(F35:F37)</f>
        <v>15.75</v>
      </c>
      <c r="G34" s="462">
        <f t="shared" si="12"/>
        <v>267.25</v>
      </c>
      <c r="H34" s="462">
        <f t="shared" si="12"/>
        <v>9</v>
      </c>
      <c r="I34" s="462">
        <f t="shared" si="12"/>
        <v>438</v>
      </c>
      <c r="J34" s="462">
        <f t="shared" si="12"/>
        <v>438</v>
      </c>
      <c r="K34" s="462">
        <f>SUM(K35:K37)</f>
        <v>0</v>
      </c>
      <c r="L34" s="462">
        <f t="shared" si="12"/>
        <v>0</v>
      </c>
      <c r="M34" s="462">
        <f t="shared" si="12"/>
        <v>187</v>
      </c>
      <c r="N34" s="462">
        <f t="shared" si="12"/>
        <v>9</v>
      </c>
      <c r="O34" s="462">
        <f t="shared" si="12"/>
        <v>294</v>
      </c>
      <c r="P34" s="462">
        <f>SUM(K34+O34)</f>
        <v>294</v>
      </c>
      <c r="Q34" s="462">
        <f>SUM(Q35:Q37)</f>
        <v>732</v>
      </c>
      <c r="R34" s="462">
        <f>SUM(R35:R37)</f>
        <v>366</v>
      </c>
    </row>
    <row r="35" spans="1:18" ht="19.5">
      <c r="A35" s="373"/>
      <c r="B35" s="490"/>
      <c r="C35" s="484"/>
      <c r="D35" s="18" t="s">
        <v>253</v>
      </c>
      <c r="E35" s="290">
        <v>0</v>
      </c>
      <c r="F35" s="290">
        <v>0</v>
      </c>
      <c r="G35" s="290">
        <v>267.25</v>
      </c>
      <c r="H35" s="287">
        <v>0</v>
      </c>
      <c r="I35" s="288">
        <f>SUM(F35:H35)*1.5</f>
        <v>400.875</v>
      </c>
      <c r="J35" s="293">
        <f>SUM(E35+I35)</f>
        <v>400.875</v>
      </c>
      <c r="K35" s="287">
        <v>0</v>
      </c>
      <c r="L35" s="287">
        <v>0</v>
      </c>
      <c r="M35" s="287">
        <v>170.75</v>
      </c>
      <c r="N35" s="287">
        <v>0</v>
      </c>
      <c r="O35" s="288">
        <f>SUM(L35:N35)*1.5</f>
        <v>256.125</v>
      </c>
      <c r="P35" s="287">
        <f>K35+O35</f>
        <v>256.125</v>
      </c>
      <c r="Q35" s="293">
        <f>J35+P35</f>
        <v>657</v>
      </c>
      <c r="R35" s="293">
        <f>Q35/2</f>
        <v>328.5</v>
      </c>
    </row>
    <row r="36" spans="1:18" ht="19.5">
      <c r="A36" s="373"/>
      <c r="B36" s="490"/>
      <c r="C36" s="484"/>
      <c r="D36" s="18" t="s">
        <v>295</v>
      </c>
      <c r="E36" s="290">
        <v>0</v>
      </c>
      <c r="F36" s="290">
        <v>0</v>
      </c>
      <c r="G36" s="290">
        <v>0</v>
      </c>
      <c r="H36" s="287">
        <v>9</v>
      </c>
      <c r="I36" s="288">
        <f>SUM(F36:H36)*1.5</f>
        <v>13.5</v>
      </c>
      <c r="J36" s="293">
        <f>SUM(E36+I36)</f>
        <v>13.5</v>
      </c>
      <c r="K36" s="287">
        <v>0</v>
      </c>
      <c r="L36" s="287">
        <v>0</v>
      </c>
      <c r="M36" s="287">
        <v>16.25</v>
      </c>
      <c r="N36" s="287">
        <v>9</v>
      </c>
      <c r="O36" s="288">
        <f>SUM(L36:N36)*1.5</f>
        <v>37.875</v>
      </c>
      <c r="P36" s="287">
        <f>K36+O36</f>
        <v>37.875</v>
      </c>
      <c r="Q36" s="293">
        <f>J36+P36</f>
        <v>51.375</v>
      </c>
      <c r="R36" s="293">
        <f>Q36/2</f>
        <v>25.6875</v>
      </c>
    </row>
    <row r="37" spans="1:18" ht="19.5">
      <c r="A37" s="491"/>
      <c r="B37" s="492"/>
      <c r="C37" s="495"/>
      <c r="D37" s="493" t="s">
        <v>242</v>
      </c>
      <c r="E37" s="332">
        <v>0</v>
      </c>
      <c r="F37" s="332">
        <v>15.75</v>
      </c>
      <c r="G37" s="332">
        <v>0</v>
      </c>
      <c r="H37" s="332">
        <v>0</v>
      </c>
      <c r="I37" s="333">
        <f>SUM(F37:H37)*1.5</f>
        <v>23.625</v>
      </c>
      <c r="J37" s="335">
        <f>SUM(E37+I37)</f>
        <v>23.625</v>
      </c>
      <c r="K37" s="332">
        <v>0</v>
      </c>
      <c r="L37" s="332">
        <v>0</v>
      </c>
      <c r="M37" s="332">
        <v>0</v>
      </c>
      <c r="N37" s="332">
        <v>0</v>
      </c>
      <c r="O37" s="333">
        <f>SUM(L37:N37)*1.5</f>
        <v>0</v>
      </c>
      <c r="P37" s="332">
        <f>K37+O37</f>
        <v>0</v>
      </c>
      <c r="Q37" s="335">
        <f>J37+P37</f>
        <v>23.625</v>
      </c>
      <c r="R37" s="335">
        <f>Q37/2</f>
        <v>11.8125</v>
      </c>
    </row>
    <row r="38" spans="1:18" ht="19.5">
      <c r="A38" s="491"/>
      <c r="B38" s="492"/>
      <c r="C38" s="495"/>
      <c r="D38" s="493" t="s">
        <v>313</v>
      </c>
      <c r="E38" s="332">
        <v>0</v>
      </c>
      <c r="F38" s="332">
        <v>0</v>
      </c>
      <c r="G38" s="332">
        <v>0</v>
      </c>
      <c r="H38" s="332">
        <v>1</v>
      </c>
      <c r="I38" s="333">
        <f>SUM(F38:H38)*1.5</f>
        <v>1.5</v>
      </c>
      <c r="J38" s="335">
        <f>SUM(E38+I38)</f>
        <v>1.5</v>
      </c>
      <c r="K38" s="332">
        <v>0</v>
      </c>
      <c r="L38" s="332">
        <v>0</v>
      </c>
      <c r="M38" s="332">
        <v>0</v>
      </c>
      <c r="N38" s="332">
        <v>0</v>
      </c>
      <c r="O38" s="333">
        <v>0</v>
      </c>
      <c r="P38" s="332">
        <v>0</v>
      </c>
      <c r="Q38" s="335">
        <v>0</v>
      </c>
      <c r="R38" s="335">
        <v>0</v>
      </c>
    </row>
    <row r="39" spans="1:18" ht="19.5">
      <c r="A39" s="486"/>
      <c r="B39" s="494"/>
      <c r="C39" s="496"/>
      <c r="D39" s="22" t="s">
        <v>197</v>
      </c>
      <c r="E39" s="315">
        <v>0</v>
      </c>
      <c r="F39" s="315">
        <v>0</v>
      </c>
      <c r="G39" s="315"/>
      <c r="H39" s="315">
        <v>0</v>
      </c>
      <c r="I39" s="316">
        <f>SUM(F39:H39)*1.5</f>
        <v>0</v>
      </c>
      <c r="J39" s="322">
        <f>SUM(E39+I39)</f>
        <v>0</v>
      </c>
      <c r="K39" s="315">
        <v>0</v>
      </c>
      <c r="L39" s="315">
        <v>0</v>
      </c>
      <c r="M39" s="315">
        <v>2</v>
      </c>
      <c r="N39" s="315">
        <v>0</v>
      </c>
      <c r="O39" s="316">
        <f>SUM(L39:N39)*1.5</f>
        <v>3</v>
      </c>
      <c r="P39" s="315">
        <f>K39+O39</f>
        <v>3</v>
      </c>
      <c r="Q39" s="322">
        <f>J39+P39</f>
        <v>3</v>
      </c>
      <c r="R39" s="322">
        <f>Q39/2</f>
        <v>1.5</v>
      </c>
    </row>
    <row r="40" spans="1:18" ht="19.5">
      <c r="A40" s="465"/>
      <c r="B40" s="489"/>
      <c r="C40" s="481" t="s">
        <v>171</v>
      </c>
      <c r="D40" s="465"/>
      <c r="E40" s="462">
        <f>SUM(E41+E43+E42+E44)</f>
        <v>0</v>
      </c>
      <c r="F40" s="462">
        <f aca="true" t="shared" si="13" ref="F40:P40">SUM(F41+F43+F42+F44)</f>
        <v>15.75</v>
      </c>
      <c r="G40" s="462">
        <f t="shared" si="13"/>
        <v>32.25</v>
      </c>
      <c r="H40" s="462">
        <f t="shared" si="13"/>
        <v>0</v>
      </c>
      <c r="I40" s="462">
        <f t="shared" si="13"/>
        <v>72</v>
      </c>
      <c r="J40" s="462">
        <f t="shared" si="13"/>
        <v>72</v>
      </c>
      <c r="K40" s="462">
        <f>SUM(K41+K43+K42+K44)</f>
        <v>0</v>
      </c>
      <c r="L40" s="462">
        <f t="shared" si="13"/>
        <v>0</v>
      </c>
      <c r="M40" s="462">
        <f t="shared" si="13"/>
        <v>46</v>
      </c>
      <c r="N40" s="462">
        <f t="shared" si="13"/>
        <v>0</v>
      </c>
      <c r="O40" s="462">
        <f t="shared" si="13"/>
        <v>69</v>
      </c>
      <c r="P40" s="462">
        <f t="shared" si="13"/>
        <v>69</v>
      </c>
      <c r="Q40" s="462">
        <f>SUM(J40+P40)</f>
        <v>141</v>
      </c>
      <c r="R40" s="462">
        <f>SUM(Q40)/2</f>
        <v>70.5</v>
      </c>
    </row>
    <row r="41" spans="1:18" ht="19.5">
      <c r="A41" s="373"/>
      <c r="B41" s="490"/>
      <c r="C41" s="484"/>
      <c r="D41" s="18" t="s">
        <v>250</v>
      </c>
      <c r="E41" s="290">
        <v>0</v>
      </c>
      <c r="F41" s="290">
        <v>0</v>
      </c>
      <c r="G41" s="290">
        <v>32.25</v>
      </c>
      <c r="H41" s="287">
        <v>0</v>
      </c>
      <c r="I41" s="288">
        <f aca="true" t="shared" si="14" ref="I41:I46">SUM(F41:H41)*1.5</f>
        <v>48.375</v>
      </c>
      <c r="J41" s="293">
        <f aca="true" t="shared" si="15" ref="J41:J46">SUM(E41+I41)</f>
        <v>48.375</v>
      </c>
      <c r="K41" s="287">
        <v>0</v>
      </c>
      <c r="L41" s="287">
        <v>0</v>
      </c>
      <c r="M41" s="287">
        <f>15+31</f>
        <v>46</v>
      </c>
      <c r="N41" s="287">
        <v>0</v>
      </c>
      <c r="O41" s="288">
        <f aca="true" t="shared" si="16" ref="O41:O46">SUM(L41:N41)*1.5</f>
        <v>69</v>
      </c>
      <c r="P41" s="287">
        <f aca="true" t="shared" si="17" ref="P41:P46">K41+O41</f>
        <v>69</v>
      </c>
      <c r="Q41" s="293">
        <f aca="true" t="shared" si="18" ref="Q41:Q56">J41+P41</f>
        <v>117.375</v>
      </c>
      <c r="R41" s="293">
        <f aca="true" t="shared" si="19" ref="R41:R46">Q41/2</f>
        <v>58.6875</v>
      </c>
    </row>
    <row r="42" spans="1:18" ht="19.5">
      <c r="A42" s="373"/>
      <c r="B42" s="490"/>
      <c r="C42" s="484"/>
      <c r="D42" s="18" t="s">
        <v>251</v>
      </c>
      <c r="E42" s="290">
        <v>0</v>
      </c>
      <c r="F42" s="287">
        <v>0</v>
      </c>
      <c r="G42" s="287">
        <v>0</v>
      </c>
      <c r="H42" s="287">
        <v>0</v>
      </c>
      <c r="I42" s="288">
        <f t="shared" si="14"/>
        <v>0</v>
      </c>
      <c r="J42" s="293">
        <f t="shared" si="15"/>
        <v>0</v>
      </c>
      <c r="K42" s="287">
        <v>0</v>
      </c>
      <c r="L42" s="287">
        <v>0</v>
      </c>
      <c r="M42" s="287">
        <v>0</v>
      </c>
      <c r="N42" s="287">
        <v>0</v>
      </c>
      <c r="O42" s="288">
        <f t="shared" si="16"/>
        <v>0</v>
      </c>
      <c r="P42" s="287">
        <f t="shared" si="17"/>
        <v>0</v>
      </c>
      <c r="Q42" s="293">
        <f t="shared" si="18"/>
        <v>0</v>
      </c>
      <c r="R42" s="293">
        <f t="shared" si="19"/>
        <v>0</v>
      </c>
    </row>
    <row r="43" spans="1:18" ht="19.5">
      <c r="A43" s="373"/>
      <c r="B43" s="490"/>
      <c r="C43" s="484"/>
      <c r="D43" s="18" t="s">
        <v>296</v>
      </c>
      <c r="E43" s="290">
        <v>0</v>
      </c>
      <c r="F43" s="287">
        <v>0</v>
      </c>
      <c r="G43" s="287">
        <v>0</v>
      </c>
      <c r="H43" s="287">
        <v>0</v>
      </c>
      <c r="I43" s="288">
        <f t="shared" si="14"/>
        <v>0</v>
      </c>
      <c r="J43" s="293">
        <f t="shared" si="15"/>
        <v>0</v>
      </c>
      <c r="K43" s="287">
        <v>0</v>
      </c>
      <c r="L43" s="287">
        <v>0</v>
      </c>
      <c r="M43" s="287">
        <v>0</v>
      </c>
      <c r="N43" s="287">
        <v>0</v>
      </c>
      <c r="O43" s="288">
        <f t="shared" si="16"/>
        <v>0</v>
      </c>
      <c r="P43" s="287">
        <f t="shared" si="17"/>
        <v>0</v>
      </c>
      <c r="Q43" s="293">
        <f t="shared" si="18"/>
        <v>0</v>
      </c>
      <c r="R43" s="293">
        <f t="shared" si="19"/>
        <v>0</v>
      </c>
    </row>
    <row r="44" spans="1:18" ht="19.5">
      <c r="A44" s="491"/>
      <c r="B44" s="492"/>
      <c r="C44" s="495"/>
      <c r="D44" s="493" t="s">
        <v>252</v>
      </c>
      <c r="E44" s="332">
        <v>0</v>
      </c>
      <c r="F44" s="332">
        <v>15.75</v>
      </c>
      <c r="G44" s="332">
        <v>0</v>
      </c>
      <c r="H44" s="332">
        <v>0</v>
      </c>
      <c r="I44" s="333">
        <f t="shared" si="14"/>
        <v>23.625</v>
      </c>
      <c r="J44" s="335">
        <f t="shared" si="15"/>
        <v>23.625</v>
      </c>
      <c r="K44" s="332">
        <v>0</v>
      </c>
      <c r="L44" s="332">
        <v>0</v>
      </c>
      <c r="M44" s="332">
        <v>0</v>
      </c>
      <c r="N44" s="332">
        <v>0</v>
      </c>
      <c r="O44" s="333">
        <f t="shared" si="16"/>
        <v>0</v>
      </c>
      <c r="P44" s="332">
        <f t="shared" si="17"/>
        <v>0</v>
      </c>
      <c r="Q44" s="335">
        <f t="shared" si="18"/>
        <v>23.625</v>
      </c>
      <c r="R44" s="335">
        <f t="shared" si="19"/>
        <v>11.8125</v>
      </c>
    </row>
    <row r="45" spans="1:18" ht="19.5">
      <c r="A45" s="486"/>
      <c r="B45" s="494"/>
      <c r="C45" s="496"/>
      <c r="D45" s="22" t="s">
        <v>197</v>
      </c>
      <c r="E45" s="315">
        <v>0</v>
      </c>
      <c r="F45" s="315">
        <v>0</v>
      </c>
      <c r="G45" s="315">
        <v>0</v>
      </c>
      <c r="H45" s="315">
        <v>0</v>
      </c>
      <c r="I45" s="316">
        <f t="shared" si="14"/>
        <v>0</v>
      </c>
      <c r="J45" s="322">
        <f t="shared" si="15"/>
        <v>0</v>
      </c>
      <c r="K45" s="315">
        <v>0</v>
      </c>
      <c r="L45" s="315">
        <v>0</v>
      </c>
      <c r="M45" s="315">
        <f>4.5+9.5</f>
        <v>14</v>
      </c>
      <c r="N45" s="315">
        <v>0</v>
      </c>
      <c r="O45" s="316">
        <f t="shared" si="16"/>
        <v>21</v>
      </c>
      <c r="P45" s="315">
        <f t="shared" si="17"/>
        <v>21</v>
      </c>
      <c r="Q45" s="322">
        <f t="shared" si="18"/>
        <v>21</v>
      </c>
      <c r="R45" s="322">
        <f t="shared" si="19"/>
        <v>10.5</v>
      </c>
    </row>
    <row r="46" spans="1:18" ht="19.5">
      <c r="A46" s="465"/>
      <c r="B46" s="489"/>
      <c r="C46" s="481" t="s">
        <v>172</v>
      </c>
      <c r="D46" s="465"/>
      <c r="E46" s="462">
        <v>0</v>
      </c>
      <c r="F46" s="462">
        <v>0</v>
      </c>
      <c r="G46" s="462">
        <v>0</v>
      </c>
      <c r="H46" s="462">
        <v>0</v>
      </c>
      <c r="I46" s="463">
        <f t="shared" si="14"/>
        <v>0</v>
      </c>
      <c r="J46" s="464">
        <f t="shared" si="15"/>
        <v>0</v>
      </c>
      <c r="K46" s="462">
        <v>0</v>
      </c>
      <c r="L46" s="462">
        <v>0</v>
      </c>
      <c r="M46" s="462">
        <v>0</v>
      </c>
      <c r="N46" s="462">
        <v>0</v>
      </c>
      <c r="O46" s="463">
        <f t="shared" si="16"/>
        <v>0</v>
      </c>
      <c r="P46" s="462">
        <f t="shared" si="17"/>
        <v>0</v>
      </c>
      <c r="Q46" s="464">
        <f t="shared" si="18"/>
        <v>0</v>
      </c>
      <c r="R46" s="464">
        <f t="shared" si="19"/>
        <v>0</v>
      </c>
    </row>
    <row r="47" spans="1:18" ht="19.5">
      <c r="A47" s="497"/>
      <c r="B47" s="498"/>
      <c r="C47" s="499" t="s">
        <v>175</v>
      </c>
      <c r="D47" s="465"/>
      <c r="E47" s="462">
        <f aca="true" t="shared" si="20" ref="E47:J47">SUM(E48:E49)</f>
        <v>10.6</v>
      </c>
      <c r="F47" s="462">
        <f t="shared" si="20"/>
        <v>0</v>
      </c>
      <c r="G47" s="462">
        <f t="shared" si="20"/>
        <v>14</v>
      </c>
      <c r="H47" s="462">
        <f t="shared" si="20"/>
        <v>0</v>
      </c>
      <c r="I47" s="462">
        <f t="shared" si="20"/>
        <v>21</v>
      </c>
      <c r="J47" s="462">
        <f t="shared" si="20"/>
        <v>31.6</v>
      </c>
      <c r="K47" s="462">
        <f aca="true" t="shared" si="21" ref="K47:P47">SUM(K48:K49)</f>
        <v>0</v>
      </c>
      <c r="L47" s="462">
        <f t="shared" si="21"/>
        <v>0</v>
      </c>
      <c r="M47" s="462">
        <f t="shared" si="21"/>
        <v>13.5</v>
      </c>
      <c r="N47" s="462">
        <f t="shared" si="21"/>
        <v>0</v>
      </c>
      <c r="O47" s="462">
        <f t="shared" si="21"/>
        <v>20.25</v>
      </c>
      <c r="P47" s="462">
        <f t="shared" si="21"/>
        <v>20.25</v>
      </c>
      <c r="Q47" s="464">
        <f t="shared" si="18"/>
        <v>51.85</v>
      </c>
      <c r="R47" s="462">
        <f>SUM(Q47)/2</f>
        <v>25.925</v>
      </c>
    </row>
    <row r="48" spans="1:18" ht="19.5">
      <c r="A48" s="485"/>
      <c r="B48" s="500"/>
      <c r="C48" s="500"/>
      <c r="D48" s="18" t="s">
        <v>254</v>
      </c>
      <c r="E48" s="290">
        <v>10.6</v>
      </c>
      <c r="F48" s="287">
        <v>0</v>
      </c>
      <c r="G48" s="287">
        <v>14</v>
      </c>
      <c r="H48" s="287">
        <v>0</v>
      </c>
      <c r="I48" s="288">
        <f>SUM(F48:H48)*1.5</f>
        <v>21</v>
      </c>
      <c r="J48" s="293">
        <f>SUM(E48+I48)</f>
        <v>31.6</v>
      </c>
      <c r="K48" s="287">
        <v>0</v>
      </c>
      <c r="L48" s="287">
        <v>0</v>
      </c>
      <c r="M48" s="287">
        <v>13.5</v>
      </c>
      <c r="N48" s="287">
        <v>0</v>
      </c>
      <c r="O48" s="288">
        <f aca="true" t="shared" si="22" ref="O48:O56">SUM(L48:N48)*1.5</f>
        <v>20.25</v>
      </c>
      <c r="P48" s="293">
        <f>K48+O48</f>
        <v>20.25</v>
      </c>
      <c r="Q48" s="293">
        <f t="shared" si="18"/>
        <v>51.85</v>
      </c>
      <c r="R48" s="293">
        <f>Q48/2</f>
        <v>25.925</v>
      </c>
    </row>
    <row r="49" spans="1:18" ht="19.5">
      <c r="A49" s="493"/>
      <c r="B49" s="501"/>
      <c r="C49" s="501"/>
      <c r="D49" s="493" t="s">
        <v>242</v>
      </c>
      <c r="E49" s="332">
        <v>0</v>
      </c>
      <c r="F49" s="332">
        <v>0</v>
      </c>
      <c r="G49" s="332">
        <v>0</v>
      </c>
      <c r="H49" s="332">
        <v>0</v>
      </c>
      <c r="I49" s="333">
        <f>SUM(F49:H49)*1.5</f>
        <v>0</v>
      </c>
      <c r="J49" s="335">
        <f>SUM(E49+I49)</f>
        <v>0</v>
      </c>
      <c r="K49" s="332">
        <v>0</v>
      </c>
      <c r="L49" s="332">
        <v>0</v>
      </c>
      <c r="M49" s="332">
        <v>0</v>
      </c>
      <c r="N49" s="332">
        <v>0</v>
      </c>
      <c r="O49" s="333">
        <f t="shared" si="22"/>
        <v>0</v>
      </c>
      <c r="P49" s="335">
        <f aca="true" t="shared" si="23" ref="P49:P56">K49+O49</f>
        <v>0</v>
      </c>
      <c r="Q49" s="335">
        <f t="shared" si="18"/>
        <v>0</v>
      </c>
      <c r="R49" s="335">
        <f>Q49/2</f>
        <v>0</v>
      </c>
    </row>
    <row r="50" spans="1:18" ht="19.5">
      <c r="A50" s="22"/>
      <c r="B50" s="502"/>
      <c r="C50" s="502"/>
      <c r="D50" s="496" t="s">
        <v>197</v>
      </c>
      <c r="E50" s="315">
        <v>0</v>
      </c>
      <c r="F50" s="315">
        <v>0</v>
      </c>
      <c r="G50" s="315">
        <v>2.5</v>
      </c>
      <c r="H50" s="315">
        <v>0</v>
      </c>
      <c r="I50" s="316">
        <f>SUM(F50:H50)*1.5</f>
        <v>3.75</v>
      </c>
      <c r="J50" s="322">
        <f>SUM(E50+I50)</f>
        <v>3.75</v>
      </c>
      <c r="K50" s="315">
        <v>0</v>
      </c>
      <c r="L50" s="315">
        <v>0</v>
      </c>
      <c r="M50" s="315">
        <v>7.5</v>
      </c>
      <c r="N50" s="315">
        <v>0</v>
      </c>
      <c r="O50" s="316">
        <f t="shared" si="22"/>
        <v>11.25</v>
      </c>
      <c r="P50" s="322">
        <f t="shared" si="23"/>
        <v>11.25</v>
      </c>
      <c r="Q50" s="322">
        <f t="shared" si="18"/>
        <v>15</v>
      </c>
      <c r="R50" s="322">
        <f aca="true" t="shared" si="24" ref="R50:R56">Q50/2</f>
        <v>7.5</v>
      </c>
    </row>
    <row r="51" spans="1:18" ht="19.5">
      <c r="A51" s="503"/>
      <c r="B51" s="504" t="s">
        <v>174</v>
      </c>
      <c r="C51" s="505"/>
      <c r="D51" s="373"/>
      <c r="E51" s="358">
        <f aca="true" t="shared" si="25" ref="E51:P51">SUM(E52:E56)</f>
        <v>0</v>
      </c>
      <c r="F51" s="358">
        <f t="shared" si="25"/>
        <v>0</v>
      </c>
      <c r="G51" s="358">
        <f t="shared" si="25"/>
        <v>0</v>
      </c>
      <c r="H51" s="358">
        <f t="shared" si="25"/>
        <v>0</v>
      </c>
      <c r="I51" s="358">
        <f t="shared" si="25"/>
        <v>0</v>
      </c>
      <c r="J51" s="358">
        <f t="shared" si="25"/>
        <v>0</v>
      </c>
      <c r="K51" s="358">
        <f t="shared" si="25"/>
        <v>0</v>
      </c>
      <c r="L51" s="358">
        <f t="shared" si="25"/>
        <v>0</v>
      </c>
      <c r="M51" s="358">
        <f t="shared" si="25"/>
        <v>0</v>
      </c>
      <c r="N51" s="358">
        <f t="shared" si="25"/>
        <v>0</v>
      </c>
      <c r="O51" s="358">
        <f t="shared" si="25"/>
        <v>0</v>
      </c>
      <c r="P51" s="358">
        <f t="shared" si="25"/>
        <v>0</v>
      </c>
      <c r="Q51" s="358">
        <f>SUM(J51+P51)</f>
        <v>0</v>
      </c>
      <c r="R51" s="358">
        <f>SUM(Q51)/2</f>
        <v>0</v>
      </c>
    </row>
    <row r="52" spans="1:18" ht="19.5">
      <c r="A52" s="485"/>
      <c r="B52" s="500"/>
      <c r="C52" s="485" t="s">
        <v>176</v>
      </c>
      <c r="D52" s="373"/>
      <c r="E52" s="287">
        <v>0</v>
      </c>
      <c r="F52" s="287">
        <v>0</v>
      </c>
      <c r="G52" s="287">
        <v>0</v>
      </c>
      <c r="H52" s="287">
        <v>0</v>
      </c>
      <c r="I52" s="288">
        <f>SUM(F52:H52)*1.5</f>
        <v>0</v>
      </c>
      <c r="J52" s="293">
        <f>SUM(E52+I52)</f>
        <v>0</v>
      </c>
      <c r="K52" s="287">
        <v>0</v>
      </c>
      <c r="L52" s="287">
        <v>0</v>
      </c>
      <c r="M52" s="287">
        <v>0</v>
      </c>
      <c r="N52" s="287">
        <v>0</v>
      </c>
      <c r="O52" s="288">
        <f t="shared" si="22"/>
        <v>0</v>
      </c>
      <c r="P52" s="293">
        <f t="shared" si="23"/>
        <v>0</v>
      </c>
      <c r="Q52" s="293">
        <f t="shared" si="18"/>
        <v>0</v>
      </c>
      <c r="R52" s="293">
        <f t="shared" si="24"/>
        <v>0</v>
      </c>
    </row>
    <row r="53" spans="1:18" ht="19.5">
      <c r="A53" s="485"/>
      <c r="B53" s="500"/>
      <c r="C53" s="485" t="s">
        <v>177</v>
      </c>
      <c r="D53" s="373"/>
      <c r="E53" s="287">
        <v>0</v>
      </c>
      <c r="F53" s="287">
        <v>0</v>
      </c>
      <c r="G53" s="287">
        <v>0</v>
      </c>
      <c r="H53" s="287">
        <v>0</v>
      </c>
      <c r="I53" s="288">
        <f>SUM(F53:H53)*1.5</f>
        <v>0</v>
      </c>
      <c r="J53" s="293">
        <f>SUM(E53+I53)</f>
        <v>0</v>
      </c>
      <c r="K53" s="287">
        <v>0</v>
      </c>
      <c r="L53" s="287">
        <v>0</v>
      </c>
      <c r="M53" s="287">
        <v>0</v>
      </c>
      <c r="N53" s="287">
        <v>0</v>
      </c>
      <c r="O53" s="288">
        <f t="shared" si="22"/>
        <v>0</v>
      </c>
      <c r="P53" s="293">
        <f t="shared" si="23"/>
        <v>0</v>
      </c>
      <c r="Q53" s="293">
        <f t="shared" si="18"/>
        <v>0</v>
      </c>
      <c r="R53" s="293">
        <f t="shared" si="24"/>
        <v>0</v>
      </c>
    </row>
    <row r="54" spans="1:18" ht="19.5">
      <c r="A54" s="485"/>
      <c r="B54" s="500"/>
      <c r="C54" s="485" t="s">
        <v>260</v>
      </c>
      <c r="D54" s="373"/>
      <c r="E54" s="288">
        <v>0</v>
      </c>
      <c r="F54" s="288">
        <v>0</v>
      </c>
      <c r="G54" s="288">
        <v>0</v>
      </c>
      <c r="H54" s="288">
        <v>0</v>
      </c>
      <c r="I54" s="288">
        <f>SUM(F54:H54)*1.5</f>
        <v>0</v>
      </c>
      <c r="J54" s="293">
        <f>SUM(E54+I54)</f>
        <v>0</v>
      </c>
      <c r="K54" s="288">
        <v>0</v>
      </c>
      <c r="L54" s="288">
        <v>0</v>
      </c>
      <c r="M54" s="288">
        <v>0</v>
      </c>
      <c r="N54" s="288">
        <v>0</v>
      </c>
      <c r="O54" s="288">
        <f t="shared" si="22"/>
        <v>0</v>
      </c>
      <c r="P54" s="293">
        <f t="shared" si="23"/>
        <v>0</v>
      </c>
      <c r="Q54" s="293">
        <f t="shared" si="18"/>
        <v>0</v>
      </c>
      <c r="R54" s="293">
        <f t="shared" si="24"/>
        <v>0</v>
      </c>
    </row>
    <row r="55" spans="1:18" ht="19.5">
      <c r="A55" s="485"/>
      <c r="B55" s="500"/>
      <c r="C55" s="485" t="s">
        <v>179</v>
      </c>
      <c r="D55" s="373"/>
      <c r="E55" s="288">
        <v>0</v>
      </c>
      <c r="F55" s="288">
        <v>0</v>
      </c>
      <c r="G55" s="288">
        <v>0</v>
      </c>
      <c r="H55" s="288">
        <v>0</v>
      </c>
      <c r="I55" s="288">
        <f>SUM(F55:H55)*1.5</f>
        <v>0</v>
      </c>
      <c r="J55" s="293">
        <f>SUM(E55+I55)</f>
        <v>0</v>
      </c>
      <c r="K55" s="288">
        <v>0</v>
      </c>
      <c r="L55" s="288">
        <v>0</v>
      </c>
      <c r="M55" s="288">
        <v>0</v>
      </c>
      <c r="N55" s="288">
        <v>0</v>
      </c>
      <c r="O55" s="288">
        <f t="shared" si="22"/>
        <v>0</v>
      </c>
      <c r="P55" s="293">
        <f t="shared" si="23"/>
        <v>0</v>
      </c>
      <c r="Q55" s="293">
        <f t="shared" si="18"/>
        <v>0</v>
      </c>
      <c r="R55" s="293">
        <f t="shared" si="24"/>
        <v>0</v>
      </c>
    </row>
    <row r="56" spans="1:18" ht="19.5">
      <c r="A56" s="485"/>
      <c r="B56" s="500"/>
      <c r="C56" s="485" t="s">
        <v>180</v>
      </c>
      <c r="D56" s="373"/>
      <c r="E56" s="287">
        <v>0</v>
      </c>
      <c r="F56" s="287">
        <v>0</v>
      </c>
      <c r="G56" s="287">
        <v>0</v>
      </c>
      <c r="H56" s="287">
        <v>0</v>
      </c>
      <c r="I56" s="288">
        <f>SUM(F56:H56)*1.5</f>
        <v>0</v>
      </c>
      <c r="J56" s="293">
        <f>SUM(E56+I56)</f>
        <v>0</v>
      </c>
      <c r="K56" s="287">
        <v>0</v>
      </c>
      <c r="L56" s="287">
        <v>0</v>
      </c>
      <c r="M56" s="287">
        <v>0</v>
      </c>
      <c r="N56" s="287">
        <v>0</v>
      </c>
      <c r="O56" s="288">
        <f t="shared" si="22"/>
        <v>0</v>
      </c>
      <c r="P56" s="293">
        <f t="shared" si="23"/>
        <v>0</v>
      </c>
      <c r="Q56" s="293">
        <f t="shared" si="18"/>
        <v>0</v>
      </c>
      <c r="R56" s="293">
        <f t="shared" si="24"/>
        <v>0</v>
      </c>
    </row>
    <row r="57" spans="1:18" ht="19.5">
      <c r="A57" s="485"/>
      <c r="B57" s="504" t="s">
        <v>181</v>
      </c>
      <c r="C57" s="485"/>
      <c r="D57" s="485"/>
      <c r="E57" s="287">
        <f aca="true" t="shared" si="26" ref="E57:Q57">SUM(E58:E61)</f>
        <v>0</v>
      </c>
      <c r="F57" s="287">
        <f t="shared" si="26"/>
        <v>0</v>
      </c>
      <c r="G57" s="287">
        <f t="shared" si="26"/>
        <v>0</v>
      </c>
      <c r="H57" s="287">
        <f t="shared" si="26"/>
        <v>0</v>
      </c>
      <c r="I57" s="287">
        <f t="shared" si="26"/>
        <v>0</v>
      </c>
      <c r="J57" s="287">
        <f t="shared" si="26"/>
        <v>0</v>
      </c>
      <c r="K57" s="287">
        <f t="shared" si="26"/>
        <v>0</v>
      </c>
      <c r="L57" s="287">
        <f t="shared" si="26"/>
        <v>0</v>
      </c>
      <c r="M57" s="287">
        <f t="shared" si="26"/>
        <v>0</v>
      </c>
      <c r="N57" s="287">
        <f t="shared" si="26"/>
        <v>0</v>
      </c>
      <c r="O57" s="287">
        <f t="shared" si="26"/>
        <v>0</v>
      </c>
      <c r="P57" s="287">
        <f t="shared" si="26"/>
        <v>0</v>
      </c>
      <c r="Q57" s="287">
        <f t="shared" si="26"/>
        <v>0</v>
      </c>
      <c r="R57" s="287">
        <f>SUM(Q57)/2</f>
        <v>0</v>
      </c>
    </row>
    <row r="58" spans="1:18" ht="19.5">
      <c r="A58" s="485"/>
      <c r="B58" s="500"/>
      <c r="C58" s="485" t="s">
        <v>297</v>
      </c>
      <c r="D58" s="485"/>
      <c r="E58" s="287">
        <v>0</v>
      </c>
      <c r="F58" s="287"/>
      <c r="G58" s="287">
        <v>0</v>
      </c>
      <c r="H58" s="287">
        <v>0</v>
      </c>
      <c r="I58" s="288">
        <f>SUM(F58:H58)*1.5</f>
        <v>0</v>
      </c>
      <c r="J58" s="293">
        <f>SUM(E58+I58)</f>
        <v>0</v>
      </c>
      <c r="K58" s="287">
        <v>0</v>
      </c>
      <c r="L58" s="287">
        <v>0</v>
      </c>
      <c r="M58" s="287">
        <v>0</v>
      </c>
      <c r="N58" s="287">
        <v>0</v>
      </c>
      <c r="O58" s="288">
        <f>SUM(L58:N58)*1.5</f>
        <v>0</v>
      </c>
      <c r="P58" s="293">
        <f>K58+O58</f>
        <v>0</v>
      </c>
      <c r="Q58" s="293">
        <f>J58+P58</f>
        <v>0</v>
      </c>
      <c r="R58" s="293">
        <f>Q58/2</f>
        <v>0</v>
      </c>
    </row>
    <row r="59" spans="1:18" ht="19.5">
      <c r="A59" s="485"/>
      <c r="B59" s="500"/>
      <c r="C59" s="485" t="s">
        <v>298</v>
      </c>
      <c r="D59" s="485"/>
      <c r="E59" s="288">
        <v>0</v>
      </c>
      <c r="F59" s="288">
        <v>0</v>
      </c>
      <c r="G59" s="288">
        <v>0</v>
      </c>
      <c r="H59" s="288">
        <v>0</v>
      </c>
      <c r="I59" s="288">
        <f>SUM(F59:H59)*1.5</f>
        <v>0</v>
      </c>
      <c r="J59" s="293">
        <f>SUM(E59+I59)</f>
        <v>0</v>
      </c>
      <c r="K59" s="288">
        <v>0</v>
      </c>
      <c r="L59" s="288">
        <v>0</v>
      </c>
      <c r="M59" s="288">
        <v>0</v>
      </c>
      <c r="N59" s="288">
        <v>0</v>
      </c>
      <c r="O59" s="288">
        <f>SUM(L59:N59)*1.5</f>
        <v>0</v>
      </c>
      <c r="P59" s="293">
        <f>K59+O59</f>
        <v>0</v>
      </c>
      <c r="Q59" s="293">
        <f>J59+P59</f>
        <v>0</v>
      </c>
      <c r="R59" s="293">
        <f>Q59/2</f>
        <v>0</v>
      </c>
    </row>
    <row r="60" spans="1:18" ht="19.5">
      <c r="A60" s="485"/>
      <c r="B60" s="500"/>
      <c r="C60" s="485" t="s">
        <v>183</v>
      </c>
      <c r="D60" s="485"/>
      <c r="E60" s="287">
        <v>0</v>
      </c>
      <c r="F60" s="287">
        <v>0</v>
      </c>
      <c r="G60" s="287">
        <v>0</v>
      </c>
      <c r="H60" s="287">
        <v>0</v>
      </c>
      <c r="I60" s="288">
        <f>SUM(F60:H60)*1.5</f>
        <v>0</v>
      </c>
      <c r="J60" s="293">
        <f>SUM(E60+I60)</f>
        <v>0</v>
      </c>
      <c r="K60" s="287">
        <v>0</v>
      </c>
      <c r="L60" s="287">
        <v>0</v>
      </c>
      <c r="M60" s="287">
        <v>0</v>
      </c>
      <c r="N60" s="287">
        <v>0</v>
      </c>
      <c r="O60" s="288">
        <f>SUM(L60:N60)*1.5</f>
        <v>0</v>
      </c>
      <c r="P60" s="293">
        <f>K60+O60</f>
        <v>0</v>
      </c>
      <c r="Q60" s="293">
        <f>J60+P60</f>
        <v>0</v>
      </c>
      <c r="R60" s="293">
        <f>Q60/2</f>
        <v>0</v>
      </c>
    </row>
    <row r="61" spans="1:18" ht="19.5">
      <c r="A61" s="485"/>
      <c r="B61" s="500"/>
      <c r="C61" s="485" t="s">
        <v>184</v>
      </c>
      <c r="D61" s="485"/>
      <c r="E61" s="295">
        <v>0</v>
      </c>
      <c r="F61" s="295">
        <v>0</v>
      </c>
      <c r="G61" s="295">
        <v>0</v>
      </c>
      <c r="H61" s="295">
        <v>0</v>
      </c>
      <c r="I61" s="288">
        <f>SUM(F61:H61)*1.5</f>
        <v>0</v>
      </c>
      <c r="J61" s="293">
        <f>SUM(E61+I61)</f>
        <v>0</v>
      </c>
      <c r="K61" s="295">
        <v>0</v>
      </c>
      <c r="L61" s="295">
        <v>0</v>
      </c>
      <c r="M61" s="295">
        <v>0</v>
      </c>
      <c r="N61" s="295">
        <v>0</v>
      </c>
      <c r="O61" s="288">
        <f>SUM(L61:N61)*1.5</f>
        <v>0</v>
      </c>
      <c r="P61" s="293">
        <f>K61+O61</f>
        <v>0</v>
      </c>
      <c r="Q61" s="293">
        <f>J61+P61</f>
        <v>0</v>
      </c>
      <c r="R61" s="293">
        <f>Q61/2</f>
        <v>0</v>
      </c>
    </row>
    <row r="62" spans="1:18" ht="19.5">
      <c r="A62" s="483" t="s">
        <v>268</v>
      </c>
      <c r="B62" s="483"/>
      <c r="C62" s="483"/>
      <c r="D62" s="483"/>
      <c r="E62" s="476">
        <f>SUM(E63)</f>
        <v>208.61</v>
      </c>
      <c r="F62" s="476">
        <f aca="true" t="shared" si="27" ref="F62:R62">SUM(F63)</f>
        <v>0</v>
      </c>
      <c r="G62" s="476">
        <f t="shared" si="27"/>
        <v>0</v>
      </c>
      <c r="H62" s="476">
        <f t="shared" si="27"/>
        <v>0</v>
      </c>
      <c r="I62" s="476">
        <f t="shared" si="27"/>
        <v>0</v>
      </c>
      <c r="J62" s="476">
        <f t="shared" si="27"/>
        <v>208.61</v>
      </c>
      <c r="K62" s="476">
        <f t="shared" si="27"/>
        <v>210.88</v>
      </c>
      <c r="L62" s="476">
        <f t="shared" si="27"/>
        <v>0</v>
      </c>
      <c r="M62" s="476">
        <f t="shared" si="27"/>
        <v>0</v>
      </c>
      <c r="N62" s="476">
        <f t="shared" si="27"/>
        <v>0</v>
      </c>
      <c r="O62" s="476">
        <f t="shared" si="27"/>
        <v>0</v>
      </c>
      <c r="P62" s="476">
        <f t="shared" si="27"/>
        <v>210.88</v>
      </c>
      <c r="Q62" s="476">
        <f t="shared" si="27"/>
        <v>419.49</v>
      </c>
      <c r="R62" s="476">
        <f t="shared" si="27"/>
        <v>209.745</v>
      </c>
    </row>
    <row r="63" spans="1:18" ht="19.5">
      <c r="A63" s="373"/>
      <c r="B63" s="485" t="s">
        <v>255</v>
      </c>
      <c r="C63" s="485"/>
      <c r="D63" s="373"/>
      <c r="E63" s="287">
        <v>208.61</v>
      </c>
      <c r="F63" s="287">
        <v>0</v>
      </c>
      <c r="G63" s="287">
        <v>0</v>
      </c>
      <c r="H63" s="287">
        <v>0</v>
      </c>
      <c r="I63" s="288">
        <f>SUM(F63:H63)*1.5</f>
        <v>0</v>
      </c>
      <c r="J63" s="298">
        <f>E63+I63</f>
        <v>208.61</v>
      </c>
      <c r="K63" s="287">
        <v>210.88</v>
      </c>
      <c r="L63" s="287">
        <v>0</v>
      </c>
      <c r="M63" s="287">
        <v>0</v>
      </c>
      <c r="N63" s="287">
        <v>0</v>
      </c>
      <c r="O63" s="288">
        <f>SUM(L63:N63)*1.5</f>
        <v>0</v>
      </c>
      <c r="P63" s="298">
        <f>K63+O63</f>
        <v>210.88</v>
      </c>
      <c r="Q63" s="298">
        <f>J63+P63</f>
        <v>419.49</v>
      </c>
      <c r="R63" s="298">
        <f>Q63/2</f>
        <v>209.745</v>
      </c>
    </row>
    <row r="64" spans="1:18" ht="19.5">
      <c r="A64" s="483" t="s">
        <v>269</v>
      </c>
      <c r="B64" s="483"/>
      <c r="C64" s="483"/>
      <c r="D64" s="483"/>
      <c r="E64" s="476">
        <f>SUM(E65+E66+E69)</f>
        <v>6.8999999999999995</v>
      </c>
      <c r="F64" s="476">
        <f aca="true" t="shared" si="28" ref="F64:R64">SUM(F65+F66+F69)</f>
        <v>0</v>
      </c>
      <c r="G64" s="476">
        <f t="shared" si="28"/>
        <v>0</v>
      </c>
      <c r="H64" s="476">
        <f t="shared" si="28"/>
        <v>0</v>
      </c>
      <c r="I64" s="476">
        <f t="shared" si="28"/>
        <v>0</v>
      </c>
      <c r="J64" s="476">
        <f t="shared" si="28"/>
        <v>6.8999999999999995</v>
      </c>
      <c r="K64" s="476">
        <f>SUM(K65+K66+K69)</f>
        <v>28.56</v>
      </c>
      <c r="L64" s="476">
        <f t="shared" si="28"/>
        <v>0</v>
      </c>
      <c r="M64" s="476">
        <f t="shared" si="28"/>
        <v>0</v>
      </c>
      <c r="N64" s="476">
        <f t="shared" si="28"/>
        <v>0</v>
      </c>
      <c r="O64" s="476">
        <f t="shared" si="28"/>
        <v>0</v>
      </c>
      <c r="P64" s="476">
        <f t="shared" si="28"/>
        <v>28.56</v>
      </c>
      <c r="Q64" s="476">
        <f t="shared" si="28"/>
        <v>35.459999999999994</v>
      </c>
      <c r="R64" s="476">
        <f t="shared" si="28"/>
        <v>17.729999999999997</v>
      </c>
    </row>
    <row r="65" spans="1:18" ht="19.5">
      <c r="A65" s="373"/>
      <c r="B65" s="485" t="s">
        <v>256</v>
      </c>
      <c r="C65" s="485"/>
      <c r="D65" s="485"/>
      <c r="E65" s="306">
        <v>2.3</v>
      </c>
      <c r="F65" s="306">
        <v>0</v>
      </c>
      <c r="G65" s="306">
        <v>0</v>
      </c>
      <c r="H65" s="306">
        <v>0</v>
      </c>
      <c r="I65" s="307">
        <f>SUM(F65:H65)*1.5</f>
        <v>0</v>
      </c>
      <c r="J65" s="298">
        <f>E65+I65</f>
        <v>2.3</v>
      </c>
      <c r="K65" s="287"/>
      <c r="L65" s="287">
        <v>0</v>
      </c>
      <c r="M65" s="287">
        <v>0</v>
      </c>
      <c r="N65" s="287">
        <v>0</v>
      </c>
      <c r="O65" s="288">
        <f>SUM(L65:N65)*1.5</f>
        <v>0</v>
      </c>
      <c r="P65" s="298">
        <f>K65+O65</f>
        <v>0</v>
      </c>
      <c r="Q65" s="298">
        <f>J65+P65</f>
        <v>2.3</v>
      </c>
      <c r="R65" s="298">
        <f>Q65/2</f>
        <v>1.15</v>
      </c>
    </row>
    <row r="66" spans="1:18" ht="19.5">
      <c r="A66" s="373"/>
      <c r="B66" s="485" t="s">
        <v>257</v>
      </c>
      <c r="C66" s="485"/>
      <c r="D66" s="485"/>
      <c r="E66" s="306">
        <f>SUM(E67:E68)</f>
        <v>2.3</v>
      </c>
      <c r="F66" s="306">
        <f>SUM(F67:F68)</f>
        <v>0</v>
      </c>
      <c r="G66" s="306">
        <f>SUM(G67:G68)</f>
        <v>0</v>
      </c>
      <c r="H66" s="306">
        <f>SUM(H67:H68)</f>
        <v>0</v>
      </c>
      <c r="I66" s="306">
        <f>SUM(I67:I68)</f>
        <v>0</v>
      </c>
      <c r="J66" s="287">
        <f aca="true" t="shared" si="29" ref="J66:Q66">SUM(J67:J68)</f>
        <v>2.3</v>
      </c>
      <c r="K66" s="287">
        <f>SUM(K67:K68)</f>
        <v>28.56</v>
      </c>
      <c r="L66" s="287">
        <f>SUM(L67:L68)</f>
        <v>0</v>
      </c>
      <c r="M66" s="287">
        <f t="shared" si="29"/>
        <v>0</v>
      </c>
      <c r="N66" s="287">
        <f t="shared" si="29"/>
        <v>0</v>
      </c>
      <c r="O66" s="287">
        <f t="shared" si="29"/>
        <v>0</v>
      </c>
      <c r="P66" s="287">
        <f t="shared" si="29"/>
        <v>28.56</v>
      </c>
      <c r="Q66" s="287">
        <f t="shared" si="29"/>
        <v>30.86</v>
      </c>
      <c r="R66" s="287">
        <f>SUM(R67:R68)</f>
        <v>15.43</v>
      </c>
    </row>
    <row r="67" spans="1:18" ht="19.5">
      <c r="A67" s="373"/>
      <c r="B67" s="485"/>
      <c r="C67" s="485"/>
      <c r="D67" s="485" t="s">
        <v>258</v>
      </c>
      <c r="E67" s="310">
        <v>2.3</v>
      </c>
      <c r="F67" s="306">
        <v>0</v>
      </c>
      <c r="G67" s="306">
        <v>0</v>
      </c>
      <c r="H67" s="306">
        <v>0</v>
      </c>
      <c r="I67" s="307">
        <f aca="true" t="shared" si="30" ref="I67:I106">SUM(F67:H67)*1.5</f>
        <v>0</v>
      </c>
      <c r="J67" s="298">
        <f>E67+I67</f>
        <v>2.3</v>
      </c>
      <c r="K67" s="287">
        <v>28.56</v>
      </c>
      <c r="L67" s="287">
        <v>0</v>
      </c>
      <c r="M67" s="287">
        <v>0</v>
      </c>
      <c r="N67" s="287">
        <v>0</v>
      </c>
      <c r="O67" s="288">
        <f>SUM(L67:N67)*1.5</f>
        <v>0</v>
      </c>
      <c r="P67" s="298">
        <f>K67+O67</f>
        <v>28.56</v>
      </c>
      <c r="Q67" s="298">
        <f>J67+P67</f>
        <v>30.86</v>
      </c>
      <c r="R67" s="298">
        <f>Q67/2</f>
        <v>15.43</v>
      </c>
    </row>
    <row r="68" spans="1:18" ht="19.5">
      <c r="A68" s="373"/>
      <c r="B68" s="485"/>
      <c r="C68" s="485"/>
      <c r="D68" s="485" t="s">
        <v>259</v>
      </c>
      <c r="E68" s="310">
        <v>0</v>
      </c>
      <c r="F68" s="306">
        <v>0</v>
      </c>
      <c r="G68" s="306">
        <v>0</v>
      </c>
      <c r="H68" s="306">
        <v>0</v>
      </c>
      <c r="I68" s="307">
        <f t="shared" si="30"/>
        <v>0</v>
      </c>
      <c r="J68" s="298">
        <f>E68+I68</f>
        <v>0</v>
      </c>
      <c r="K68" s="287">
        <v>0</v>
      </c>
      <c r="L68" s="287">
        <v>0</v>
      </c>
      <c r="M68" s="287">
        <v>0</v>
      </c>
      <c r="N68" s="287">
        <v>0</v>
      </c>
      <c r="O68" s="288">
        <f>SUM(L68:N68)*1.5</f>
        <v>0</v>
      </c>
      <c r="P68" s="298">
        <f>K68+O68</f>
        <v>0</v>
      </c>
      <c r="Q68" s="298">
        <f>J68+P68</f>
        <v>0</v>
      </c>
      <c r="R68" s="298">
        <f>Q68/2</f>
        <v>0</v>
      </c>
    </row>
    <row r="69" spans="1:18" ht="19.5">
      <c r="A69" s="373"/>
      <c r="B69" s="485" t="s">
        <v>262</v>
      </c>
      <c r="C69" s="485"/>
      <c r="D69" s="485"/>
      <c r="E69" s="306">
        <v>2.3</v>
      </c>
      <c r="F69" s="306">
        <v>0</v>
      </c>
      <c r="G69" s="306">
        <v>0</v>
      </c>
      <c r="H69" s="306">
        <v>0</v>
      </c>
      <c r="I69" s="307">
        <f t="shared" si="30"/>
        <v>0</v>
      </c>
      <c r="J69" s="298">
        <f>E69+I69</f>
        <v>2.3</v>
      </c>
      <c r="K69" s="287">
        <v>0</v>
      </c>
      <c r="L69" s="287">
        <v>0</v>
      </c>
      <c r="M69" s="287">
        <v>0</v>
      </c>
      <c r="N69" s="287">
        <v>0</v>
      </c>
      <c r="O69" s="288">
        <f>SUM(L69:N69)*1.5</f>
        <v>0</v>
      </c>
      <c r="P69" s="298">
        <f>K69+O69</f>
        <v>0</v>
      </c>
      <c r="Q69" s="298">
        <f>J69+P69</f>
        <v>2.3</v>
      </c>
      <c r="R69" s="298">
        <f>Q69/2</f>
        <v>1.15</v>
      </c>
    </row>
    <row r="70" spans="1:18" ht="19.5">
      <c r="A70" s="483" t="s">
        <v>270</v>
      </c>
      <c r="B70" s="483"/>
      <c r="C70" s="483"/>
      <c r="D70" s="483"/>
      <c r="E70" s="476">
        <f aca="true" t="shared" si="31" ref="E70:Q70">SUM(E71+E73+E78+E83+E85+E91+E96+E98)</f>
        <v>136.78</v>
      </c>
      <c r="F70" s="476">
        <f t="shared" si="31"/>
        <v>0</v>
      </c>
      <c r="G70" s="476">
        <f t="shared" si="31"/>
        <v>34.5</v>
      </c>
      <c r="H70" s="476">
        <f t="shared" si="31"/>
        <v>0</v>
      </c>
      <c r="I70" s="476">
        <f t="shared" si="31"/>
        <v>51.75</v>
      </c>
      <c r="J70" s="476">
        <f t="shared" si="31"/>
        <v>188.52999999999997</v>
      </c>
      <c r="K70" s="476">
        <f t="shared" si="31"/>
        <v>30</v>
      </c>
      <c r="L70" s="476">
        <f t="shared" si="31"/>
        <v>0</v>
      </c>
      <c r="M70" s="476">
        <f t="shared" si="31"/>
        <v>54</v>
      </c>
      <c r="N70" s="476">
        <f t="shared" si="31"/>
        <v>0.25</v>
      </c>
      <c r="O70" s="476">
        <f t="shared" si="31"/>
        <v>81.375</v>
      </c>
      <c r="P70" s="476">
        <f t="shared" si="31"/>
        <v>125.375</v>
      </c>
      <c r="Q70" s="476">
        <f t="shared" si="31"/>
        <v>355.02</v>
      </c>
      <c r="R70" s="476">
        <f>SUM(R71+R72+R73+R78+R83+R85+R91+R96+R98)</f>
        <v>177.51</v>
      </c>
    </row>
    <row r="71" spans="1:18" ht="19.5">
      <c r="A71" s="373"/>
      <c r="B71" s="485" t="s">
        <v>208</v>
      </c>
      <c r="C71" s="485"/>
      <c r="D71" s="485"/>
      <c r="E71" s="298">
        <v>0</v>
      </c>
      <c r="F71" s="298">
        <v>0</v>
      </c>
      <c r="G71" s="298">
        <v>0</v>
      </c>
      <c r="H71" s="53">
        <v>0</v>
      </c>
      <c r="I71" s="288">
        <f t="shared" si="30"/>
        <v>0</v>
      </c>
      <c r="J71" s="298">
        <f>E71+I71</f>
        <v>0</v>
      </c>
      <c r="K71" s="298">
        <v>0</v>
      </c>
      <c r="L71" s="298">
        <v>0</v>
      </c>
      <c r="M71" s="298">
        <v>0</v>
      </c>
      <c r="N71" s="298">
        <v>0</v>
      </c>
      <c r="O71" s="288">
        <f>SUM(L71:N71)*1.5</f>
        <v>0</v>
      </c>
      <c r="P71" s="298">
        <f>K71+O71</f>
        <v>0</v>
      </c>
      <c r="Q71" s="298">
        <f>J71+P71</f>
        <v>0</v>
      </c>
      <c r="R71" s="298">
        <f>Q71/2</f>
        <v>0</v>
      </c>
    </row>
    <row r="72" spans="1:18" ht="19.5">
      <c r="A72" s="486"/>
      <c r="B72" s="22" t="s">
        <v>209</v>
      </c>
      <c r="C72" s="22"/>
      <c r="D72" s="22"/>
      <c r="E72" s="326">
        <v>0</v>
      </c>
      <c r="F72" s="326">
        <v>0</v>
      </c>
      <c r="G72" s="326">
        <v>0</v>
      </c>
      <c r="H72" s="63">
        <v>0</v>
      </c>
      <c r="I72" s="316">
        <f t="shared" si="30"/>
        <v>0</v>
      </c>
      <c r="J72" s="326">
        <f>E72+I72</f>
        <v>0</v>
      </c>
      <c r="K72" s="326">
        <v>0</v>
      </c>
      <c r="L72" s="326">
        <v>0</v>
      </c>
      <c r="M72" s="326">
        <v>0</v>
      </c>
      <c r="N72" s="326">
        <v>0</v>
      </c>
      <c r="O72" s="316">
        <f>SUM(L72:N72)*1.5</f>
        <v>0</v>
      </c>
      <c r="P72" s="326">
        <f>K72+O72</f>
        <v>0</v>
      </c>
      <c r="Q72" s="326">
        <f>J72+P72</f>
        <v>0</v>
      </c>
      <c r="R72" s="326">
        <f>Q72/2</f>
        <v>0</v>
      </c>
    </row>
    <row r="73" spans="1:18" ht="19.5">
      <c r="A73" s="506"/>
      <c r="B73" s="507" t="s">
        <v>187</v>
      </c>
      <c r="C73" s="507"/>
      <c r="D73" s="508"/>
      <c r="E73" s="466">
        <f>SUM(E74:E77)</f>
        <v>31.560000000000002</v>
      </c>
      <c r="F73" s="466">
        <f aca="true" t="shared" si="32" ref="F73:R73">SUM(F74:F77)</f>
        <v>0</v>
      </c>
      <c r="G73" s="466">
        <f t="shared" si="32"/>
        <v>0</v>
      </c>
      <c r="H73" s="466">
        <f t="shared" si="32"/>
        <v>0</v>
      </c>
      <c r="I73" s="466">
        <f t="shared" si="32"/>
        <v>0</v>
      </c>
      <c r="J73" s="466">
        <f t="shared" si="32"/>
        <v>31.560000000000002</v>
      </c>
      <c r="K73" s="466">
        <f t="shared" si="32"/>
        <v>3.33</v>
      </c>
      <c r="L73" s="466">
        <f t="shared" si="32"/>
        <v>0</v>
      </c>
      <c r="M73" s="466">
        <f t="shared" si="32"/>
        <v>0</v>
      </c>
      <c r="N73" s="466">
        <f t="shared" si="32"/>
        <v>0</v>
      </c>
      <c r="O73" s="466">
        <f t="shared" si="32"/>
        <v>0</v>
      </c>
      <c r="P73" s="466">
        <f t="shared" si="32"/>
        <v>3.33</v>
      </c>
      <c r="Q73" s="466">
        <f t="shared" si="32"/>
        <v>34.89</v>
      </c>
      <c r="R73" s="466">
        <f t="shared" si="32"/>
        <v>17.445</v>
      </c>
    </row>
    <row r="74" spans="1:18" ht="19.5">
      <c r="A74" s="373"/>
      <c r="B74" s="485"/>
      <c r="C74" s="485"/>
      <c r="D74" s="485" t="s">
        <v>210</v>
      </c>
      <c r="E74" s="290">
        <v>5.67</v>
      </c>
      <c r="F74" s="287">
        <v>0</v>
      </c>
      <c r="G74" s="287">
        <v>0</v>
      </c>
      <c r="H74" s="287">
        <v>0</v>
      </c>
      <c r="I74" s="288">
        <f t="shared" si="30"/>
        <v>0</v>
      </c>
      <c r="J74" s="298">
        <f aca="true" t="shared" si="33" ref="J74:J84">E74+I74</f>
        <v>5.67</v>
      </c>
      <c r="K74" s="287">
        <v>3.33</v>
      </c>
      <c r="L74" s="287">
        <v>0</v>
      </c>
      <c r="M74" s="287">
        <v>0</v>
      </c>
      <c r="N74" s="287">
        <v>0</v>
      </c>
      <c r="O74" s="288">
        <f>SUM(L74:N74)*1.5</f>
        <v>0</v>
      </c>
      <c r="P74" s="298">
        <f>K74+O74</f>
        <v>3.33</v>
      </c>
      <c r="Q74" s="298">
        <f>J74+P74</f>
        <v>9</v>
      </c>
      <c r="R74" s="298">
        <f>Q74/2</f>
        <v>4.5</v>
      </c>
    </row>
    <row r="75" spans="1:18" ht="19.5">
      <c r="A75" s="373"/>
      <c r="B75" s="485"/>
      <c r="C75" s="485"/>
      <c r="D75" s="485" t="s">
        <v>211</v>
      </c>
      <c r="E75" s="290">
        <v>22.11</v>
      </c>
      <c r="F75" s="287">
        <v>0</v>
      </c>
      <c r="G75" s="287">
        <v>0</v>
      </c>
      <c r="H75" s="287">
        <v>0</v>
      </c>
      <c r="I75" s="288">
        <f t="shared" si="30"/>
        <v>0</v>
      </c>
      <c r="J75" s="298">
        <f t="shared" si="33"/>
        <v>22.11</v>
      </c>
      <c r="K75" s="287">
        <v>0</v>
      </c>
      <c r="L75" s="287">
        <v>0</v>
      </c>
      <c r="M75" s="287">
        <v>0</v>
      </c>
      <c r="N75" s="287">
        <v>0</v>
      </c>
      <c r="O75" s="288">
        <f>SUM(L75:N75)*1.5</f>
        <v>0</v>
      </c>
      <c r="P75" s="298">
        <f>K75+O75</f>
        <v>0</v>
      </c>
      <c r="Q75" s="298">
        <f>J75+P75</f>
        <v>22.11</v>
      </c>
      <c r="R75" s="298">
        <f>Q75/2</f>
        <v>11.055</v>
      </c>
    </row>
    <row r="76" spans="1:18" ht="19.5">
      <c r="A76" s="373"/>
      <c r="B76" s="485"/>
      <c r="C76" s="485"/>
      <c r="D76" s="485" t="s">
        <v>212</v>
      </c>
      <c r="E76" s="290">
        <v>0</v>
      </c>
      <c r="F76" s="287">
        <v>0</v>
      </c>
      <c r="G76" s="287">
        <v>0</v>
      </c>
      <c r="H76" s="287">
        <v>0</v>
      </c>
      <c r="I76" s="288">
        <f t="shared" si="30"/>
        <v>0</v>
      </c>
      <c r="J76" s="298">
        <f t="shared" si="33"/>
        <v>0</v>
      </c>
      <c r="K76" s="287">
        <v>0</v>
      </c>
      <c r="L76" s="287">
        <v>0</v>
      </c>
      <c r="M76" s="287">
        <v>0</v>
      </c>
      <c r="N76" s="287">
        <v>0</v>
      </c>
      <c r="O76" s="288">
        <f>SUM(L76:N76)*1.5</f>
        <v>0</v>
      </c>
      <c r="P76" s="298">
        <f>K76+O76</f>
        <v>0</v>
      </c>
      <c r="Q76" s="298">
        <f>J76+P76</f>
        <v>0</v>
      </c>
      <c r="R76" s="298">
        <f>Q76/2</f>
        <v>0</v>
      </c>
    </row>
    <row r="77" spans="1:18" ht="19.5">
      <c r="A77" s="373"/>
      <c r="B77" s="485"/>
      <c r="C77" s="485"/>
      <c r="D77" s="485" t="s">
        <v>213</v>
      </c>
      <c r="E77" s="290">
        <v>3.78</v>
      </c>
      <c r="F77" s="287">
        <v>0</v>
      </c>
      <c r="G77" s="287">
        <v>0</v>
      </c>
      <c r="H77" s="287">
        <v>0</v>
      </c>
      <c r="I77" s="288">
        <f t="shared" si="30"/>
        <v>0</v>
      </c>
      <c r="J77" s="298">
        <f t="shared" si="33"/>
        <v>3.78</v>
      </c>
      <c r="K77" s="287">
        <v>0</v>
      </c>
      <c r="L77" s="287">
        <v>0</v>
      </c>
      <c r="M77" s="287">
        <v>0</v>
      </c>
      <c r="N77" s="287">
        <v>0</v>
      </c>
      <c r="O77" s="288">
        <f>SUM(L77:N77)*1.5</f>
        <v>0</v>
      </c>
      <c r="P77" s="298">
        <f>K77+O77</f>
        <v>0</v>
      </c>
      <c r="Q77" s="298">
        <f>J77+P77</f>
        <v>3.78</v>
      </c>
      <c r="R77" s="298">
        <f>Q77/2</f>
        <v>1.89</v>
      </c>
    </row>
    <row r="78" spans="1:18" ht="19.5">
      <c r="A78" s="506"/>
      <c r="B78" s="507" t="s">
        <v>299</v>
      </c>
      <c r="C78" s="507"/>
      <c r="D78" s="508"/>
      <c r="E78" s="477">
        <f>SUM(E79:E82)</f>
        <v>0</v>
      </c>
      <c r="F78" s="477">
        <f>SUM(F79:F82)</f>
        <v>0</v>
      </c>
      <c r="G78" s="477">
        <f>SUM(G79:G82)</f>
        <v>0</v>
      </c>
      <c r="H78" s="477">
        <f>SUM(H79:H82)</f>
        <v>0</v>
      </c>
      <c r="I78" s="477">
        <f>SUM(I79:I82)</f>
        <v>0</v>
      </c>
      <c r="J78" s="466">
        <f t="shared" si="33"/>
        <v>0</v>
      </c>
      <c r="K78" s="477">
        <f aca="true" t="shared" si="34" ref="K78:P78">SUM(K79:K82)</f>
        <v>4</v>
      </c>
      <c r="L78" s="509">
        <f t="shared" si="34"/>
        <v>0</v>
      </c>
      <c r="M78" s="509">
        <f t="shared" si="34"/>
        <v>0</v>
      </c>
      <c r="N78" s="509">
        <f t="shared" si="34"/>
        <v>0</v>
      </c>
      <c r="O78" s="509">
        <f t="shared" si="34"/>
        <v>0</v>
      </c>
      <c r="P78" s="477">
        <f t="shared" si="34"/>
        <v>4</v>
      </c>
      <c r="Q78" s="477">
        <f>SUM(Q79)</f>
        <v>0</v>
      </c>
      <c r="R78" s="477">
        <f>SUM(R79)</f>
        <v>0</v>
      </c>
    </row>
    <row r="79" spans="1:18" ht="19.5">
      <c r="A79" s="373"/>
      <c r="B79" s="485"/>
      <c r="C79" s="485"/>
      <c r="D79" s="485" t="s">
        <v>300</v>
      </c>
      <c r="E79" s="19">
        <v>0</v>
      </c>
      <c r="F79" s="287">
        <v>0</v>
      </c>
      <c r="G79" s="287">
        <v>0</v>
      </c>
      <c r="H79" s="287">
        <v>0</v>
      </c>
      <c r="I79" s="288">
        <f>SUM(F79:H79)*1.5</f>
        <v>0</v>
      </c>
      <c r="J79" s="298">
        <f t="shared" si="33"/>
        <v>0</v>
      </c>
      <c r="K79" s="287">
        <v>0</v>
      </c>
      <c r="L79" s="287">
        <v>0</v>
      </c>
      <c r="M79" s="287">
        <v>0</v>
      </c>
      <c r="N79" s="287">
        <v>0</v>
      </c>
      <c r="O79" s="288">
        <f>SUM(L79:N79)*1.5</f>
        <v>0</v>
      </c>
      <c r="P79" s="298">
        <f>K79+O79</f>
        <v>0</v>
      </c>
      <c r="Q79" s="298">
        <f>J79+P79</f>
        <v>0</v>
      </c>
      <c r="R79" s="298">
        <f>Q79/2</f>
        <v>0</v>
      </c>
    </row>
    <row r="80" spans="1:18" ht="19.5">
      <c r="A80" s="373"/>
      <c r="B80" s="485"/>
      <c r="C80" s="485"/>
      <c r="D80" s="485" t="s">
        <v>301</v>
      </c>
      <c r="E80" s="290">
        <v>0</v>
      </c>
      <c r="F80" s="287">
        <v>0</v>
      </c>
      <c r="G80" s="287">
        <v>0</v>
      </c>
      <c r="H80" s="287">
        <v>0</v>
      </c>
      <c r="I80" s="288">
        <f>SUM(F80:H80)*1.5</f>
        <v>0</v>
      </c>
      <c r="J80" s="298">
        <f t="shared" si="33"/>
        <v>0</v>
      </c>
      <c r="K80" s="287">
        <v>4</v>
      </c>
      <c r="L80" s="287">
        <v>0</v>
      </c>
      <c r="M80" s="287">
        <v>0</v>
      </c>
      <c r="N80" s="287">
        <v>0</v>
      </c>
      <c r="O80" s="288">
        <f>SUM(L80:N80)*1.5</f>
        <v>0</v>
      </c>
      <c r="P80" s="298">
        <f>K80+O80</f>
        <v>4</v>
      </c>
      <c r="Q80" s="298">
        <f>J80+P80</f>
        <v>4</v>
      </c>
      <c r="R80" s="298">
        <f>Q80/2</f>
        <v>2</v>
      </c>
    </row>
    <row r="81" spans="1:18" ht="19.5">
      <c r="A81" s="373"/>
      <c r="B81" s="485"/>
      <c r="C81" s="485"/>
      <c r="D81" s="485" t="s">
        <v>302</v>
      </c>
      <c r="E81" s="19">
        <v>0</v>
      </c>
      <c r="F81" s="287">
        <v>0</v>
      </c>
      <c r="G81" s="287">
        <v>0</v>
      </c>
      <c r="H81" s="287">
        <v>0</v>
      </c>
      <c r="I81" s="288">
        <f>SUM(F81:H81)*1.5</f>
        <v>0</v>
      </c>
      <c r="J81" s="298">
        <f t="shared" si="33"/>
        <v>0</v>
      </c>
      <c r="K81" s="287">
        <v>0</v>
      </c>
      <c r="L81" s="287">
        <v>0</v>
      </c>
      <c r="M81" s="287">
        <v>0</v>
      </c>
      <c r="N81" s="287">
        <v>0</v>
      </c>
      <c r="O81" s="288">
        <f>SUM(L81:N81)*1.5</f>
        <v>0</v>
      </c>
      <c r="P81" s="298">
        <f>K81+O81</f>
        <v>0</v>
      </c>
      <c r="Q81" s="298">
        <f>J81+P81</f>
        <v>0</v>
      </c>
      <c r="R81" s="298">
        <f>Q81/2</f>
        <v>0</v>
      </c>
    </row>
    <row r="82" spans="1:18" ht="19.5">
      <c r="A82" s="373"/>
      <c r="B82" s="485"/>
      <c r="C82" s="485"/>
      <c r="D82" s="485" t="s">
        <v>303</v>
      </c>
      <c r="E82" s="19">
        <v>0</v>
      </c>
      <c r="F82" s="287">
        <v>0</v>
      </c>
      <c r="G82" s="287">
        <v>0</v>
      </c>
      <c r="H82" s="287"/>
      <c r="I82" s="288">
        <f>SUM(F82:H82)*1.5</f>
        <v>0</v>
      </c>
      <c r="J82" s="298">
        <f t="shared" si="33"/>
        <v>0</v>
      </c>
      <c r="K82" s="287">
        <v>0</v>
      </c>
      <c r="L82" s="287">
        <v>0</v>
      </c>
      <c r="M82" s="287">
        <v>0</v>
      </c>
      <c r="N82" s="287">
        <v>0</v>
      </c>
      <c r="O82" s="288">
        <f>SUM(L82:N82)*1.5</f>
        <v>0</v>
      </c>
      <c r="P82" s="298">
        <f>K82+O82</f>
        <v>0</v>
      </c>
      <c r="Q82" s="298">
        <f>J82+P82</f>
        <v>0</v>
      </c>
      <c r="R82" s="298">
        <f>Q82/2</f>
        <v>0</v>
      </c>
    </row>
    <row r="83" spans="1:18" ht="19.5">
      <c r="A83" s="506"/>
      <c r="B83" s="510" t="s">
        <v>185</v>
      </c>
      <c r="C83" s="510"/>
      <c r="D83" s="507"/>
      <c r="E83" s="477">
        <f>SUM(E84:E84)</f>
        <v>16.89</v>
      </c>
      <c r="F83" s="477">
        <f>SUM(F84:F84)</f>
        <v>0</v>
      </c>
      <c r="G83" s="477">
        <f>SUM(G84:G84)</f>
        <v>0</v>
      </c>
      <c r="H83" s="477">
        <f>SUM(H84:H84)</f>
        <v>0</v>
      </c>
      <c r="I83" s="477">
        <f>SUM(I84:I84)</f>
        <v>0</v>
      </c>
      <c r="J83" s="466">
        <f t="shared" si="33"/>
        <v>16.89</v>
      </c>
      <c r="K83" s="477">
        <f aca="true" t="shared" si="35" ref="K83:R83">SUM(K84:K84)</f>
        <v>0</v>
      </c>
      <c r="L83" s="477">
        <f t="shared" si="35"/>
        <v>0</v>
      </c>
      <c r="M83" s="477">
        <f t="shared" si="35"/>
        <v>0</v>
      </c>
      <c r="N83" s="477">
        <f t="shared" si="35"/>
        <v>0</v>
      </c>
      <c r="O83" s="477">
        <f t="shared" si="35"/>
        <v>0</v>
      </c>
      <c r="P83" s="477">
        <f t="shared" si="35"/>
        <v>14</v>
      </c>
      <c r="Q83" s="477">
        <f t="shared" si="35"/>
        <v>76.005</v>
      </c>
      <c r="R83" s="477">
        <f t="shared" si="35"/>
        <v>38.0025</v>
      </c>
    </row>
    <row r="84" spans="1:18" ht="19.5">
      <c r="A84" s="373"/>
      <c r="B84" s="488"/>
      <c r="C84" s="488"/>
      <c r="D84" s="485" t="s">
        <v>215</v>
      </c>
      <c r="E84" s="287">
        <v>16.89</v>
      </c>
      <c r="F84" s="287">
        <v>0</v>
      </c>
      <c r="G84" s="287">
        <v>0</v>
      </c>
      <c r="H84" s="287">
        <v>0</v>
      </c>
      <c r="I84" s="287">
        <f>SUM(F84:H84)*1.5</f>
        <v>0</v>
      </c>
      <c r="J84" s="298">
        <f t="shared" si="33"/>
        <v>16.89</v>
      </c>
      <c r="K84" s="287">
        <v>0</v>
      </c>
      <c r="L84" s="287">
        <v>0</v>
      </c>
      <c r="M84" s="287">
        <v>0</v>
      </c>
      <c r="N84" s="287">
        <v>0</v>
      </c>
      <c r="O84" s="287">
        <f>SUM(L84:N84)*1.5</f>
        <v>0</v>
      </c>
      <c r="P84" s="287">
        <f>SUM(P85)</f>
        <v>14</v>
      </c>
      <c r="Q84" s="287">
        <f>SUM(Q85)</f>
        <v>76.005</v>
      </c>
      <c r="R84" s="287">
        <f>SUM(R85)</f>
        <v>38.0025</v>
      </c>
    </row>
    <row r="85" spans="1:18" ht="19.5">
      <c r="A85" s="507"/>
      <c r="B85" s="507" t="s">
        <v>186</v>
      </c>
      <c r="C85" s="507"/>
      <c r="D85" s="507"/>
      <c r="E85" s="477">
        <f>SUM(E86+E89)</f>
        <v>47.5</v>
      </c>
      <c r="F85" s="477">
        <f aca="true" t="shared" si="36" ref="F85:R85">SUM(F86+F89)</f>
        <v>0</v>
      </c>
      <c r="G85" s="477">
        <f t="shared" si="36"/>
        <v>9.67</v>
      </c>
      <c r="H85" s="477">
        <f t="shared" si="36"/>
        <v>0</v>
      </c>
      <c r="I85" s="477">
        <f t="shared" si="36"/>
        <v>14.504999999999999</v>
      </c>
      <c r="J85" s="477">
        <f t="shared" si="36"/>
        <v>62.004999999999995</v>
      </c>
      <c r="K85" s="477">
        <f>SUM(K86+K89)</f>
        <v>5</v>
      </c>
      <c r="L85" s="477">
        <f>SUM(L86+L89)</f>
        <v>0</v>
      </c>
      <c r="M85" s="477">
        <f>SUM(M86+M89)</f>
        <v>6</v>
      </c>
      <c r="N85" s="477">
        <f>SUM(N86+N89)</f>
        <v>0</v>
      </c>
      <c r="O85" s="477">
        <f>SUM(O86+O89)</f>
        <v>9</v>
      </c>
      <c r="P85" s="477">
        <f t="shared" si="36"/>
        <v>14</v>
      </c>
      <c r="Q85" s="477">
        <f t="shared" si="36"/>
        <v>76.005</v>
      </c>
      <c r="R85" s="477">
        <f t="shared" si="36"/>
        <v>38.0025</v>
      </c>
    </row>
    <row r="86" spans="1:18" ht="19.5">
      <c r="A86" s="373"/>
      <c r="B86" s="485"/>
      <c r="C86" s="485"/>
      <c r="D86" s="485" t="s">
        <v>311</v>
      </c>
      <c r="E86" s="287">
        <v>47.5</v>
      </c>
      <c r="F86" s="251">
        <v>0</v>
      </c>
      <c r="G86" s="251">
        <v>9.34</v>
      </c>
      <c r="H86" s="287">
        <v>0</v>
      </c>
      <c r="I86" s="288">
        <f t="shared" si="30"/>
        <v>14.01</v>
      </c>
      <c r="J86" s="287">
        <f>E86+I86</f>
        <v>61.51</v>
      </c>
      <c r="K86" s="287">
        <f>5</f>
        <v>5</v>
      </c>
      <c r="L86" s="287">
        <v>0</v>
      </c>
      <c r="M86" s="287">
        <v>6</v>
      </c>
      <c r="N86" s="287">
        <v>0</v>
      </c>
      <c r="O86" s="288">
        <f>SUM(L86:N86)*1.5</f>
        <v>9</v>
      </c>
      <c r="P86" s="287">
        <f>K86+O86</f>
        <v>14</v>
      </c>
      <c r="Q86" s="287">
        <f>J86+P86</f>
        <v>75.50999999999999</v>
      </c>
      <c r="R86" s="287">
        <f>Q86/2</f>
        <v>37.754999999999995</v>
      </c>
    </row>
    <row r="87" spans="1:18" ht="19.5">
      <c r="A87" s="486"/>
      <c r="B87" s="22"/>
      <c r="C87" s="22"/>
      <c r="D87" s="22" t="s">
        <v>195</v>
      </c>
      <c r="E87" s="23">
        <v>0</v>
      </c>
      <c r="F87" s="23">
        <v>0</v>
      </c>
      <c r="G87" s="23">
        <v>1.5</v>
      </c>
      <c r="H87" s="315">
        <v>0</v>
      </c>
      <c r="I87" s="316">
        <v>0</v>
      </c>
      <c r="J87" s="315">
        <f>E87+I87</f>
        <v>0</v>
      </c>
      <c r="K87" s="315">
        <v>0</v>
      </c>
      <c r="L87" s="315">
        <v>0</v>
      </c>
      <c r="M87" s="315">
        <v>2.5</v>
      </c>
      <c r="N87" s="315">
        <v>0</v>
      </c>
      <c r="O87" s="316">
        <f>SUM(L87:N87)*1.5</f>
        <v>3.75</v>
      </c>
      <c r="P87" s="315">
        <f>K87+O87</f>
        <v>3.75</v>
      </c>
      <c r="Q87" s="315">
        <f>J87+P87</f>
        <v>3.75</v>
      </c>
      <c r="R87" s="315">
        <f>Q87/2</f>
        <v>1.875</v>
      </c>
    </row>
    <row r="88" spans="1:18" ht="19.5">
      <c r="A88" s="486"/>
      <c r="B88" s="22"/>
      <c r="C88" s="22"/>
      <c r="D88" s="22" t="s">
        <v>197</v>
      </c>
      <c r="E88" s="23">
        <v>0</v>
      </c>
      <c r="F88" s="23">
        <v>0</v>
      </c>
      <c r="G88" s="23">
        <v>0</v>
      </c>
      <c r="H88" s="315">
        <v>0</v>
      </c>
      <c r="I88" s="316">
        <v>0</v>
      </c>
      <c r="J88" s="315">
        <v>0</v>
      </c>
      <c r="K88" s="315">
        <v>0</v>
      </c>
      <c r="L88" s="315">
        <v>0</v>
      </c>
      <c r="M88" s="315">
        <v>5</v>
      </c>
      <c r="N88" s="315">
        <v>0</v>
      </c>
      <c r="O88" s="316">
        <f>SUM(L88:N88)*1.5</f>
        <v>7.5</v>
      </c>
      <c r="P88" s="315">
        <f>K88+O88</f>
        <v>7.5</v>
      </c>
      <c r="Q88" s="315">
        <f>J88+P88</f>
        <v>7.5</v>
      </c>
      <c r="R88" s="315">
        <f>Q88/2</f>
        <v>3.75</v>
      </c>
    </row>
    <row r="89" spans="1:18" ht="19.5">
      <c r="A89" s="373"/>
      <c r="B89" s="485"/>
      <c r="C89" s="485"/>
      <c r="D89" s="485" t="s">
        <v>196</v>
      </c>
      <c r="E89" s="251">
        <v>0</v>
      </c>
      <c r="F89" s="251">
        <v>0</v>
      </c>
      <c r="G89" s="251">
        <v>0.33</v>
      </c>
      <c r="H89" s="287">
        <v>0</v>
      </c>
      <c r="I89" s="288">
        <f t="shared" si="30"/>
        <v>0.495</v>
      </c>
      <c r="J89" s="287">
        <f>E89+I89</f>
        <v>0.495</v>
      </c>
      <c r="K89" s="287">
        <v>0</v>
      </c>
      <c r="L89" s="287">
        <v>0</v>
      </c>
      <c r="M89" s="287">
        <v>0</v>
      </c>
      <c r="N89" s="287">
        <v>0</v>
      </c>
      <c r="O89" s="288">
        <f>SUM(L89:N89)*1.5</f>
        <v>0</v>
      </c>
      <c r="P89" s="287">
        <f>K89+O89</f>
        <v>0</v>
      </c>
      <c r="Q89" s="287">
        <f>J89+P89</f>
        <v>0.495</v>
      </c>
      <c r="R89" s="287">
        <f>Q89/2</f>
        <v>0.2475</v>
      </c>
    </row>
    <row r="90" spans="1:18" ht="19.5">
      <c r="A90" s="486"/>
      <c r="B90" s="22"/>
      <c r="C90" s="22"/>
      <c r="D90" s="22" t="s">
        <v>197</v>
      </c>
      <c r="E90" s="23">
        <v>0</v>
      </c>
      <c r="F90" s="23">
        <v>0</v>
      </c>
      <c r="G90" s="23">
        <v>1</v>
      </c>
      <c r="H90" s="315">
        <v>0</v>
      </c>
      <c r="I90" s="316">
        <f t="shared" si="30"/>
        <v>1.5</v>
      </c>
      <c r="J90" s="315">
        <f>E90+I90</f>
        <v>1.5</v>
      </c>
      <c r="K90" s="315">
        <v>0</v>
      </c>
      <c r="L90" s="315">
        <v>0</v>
      </c>
      <c r="M90" s="315">
        <f>0.5+1</f>
        <v>1.5</v>
      </c>
      <c r="N90" s="315">
        <v>0</v>
      </c>
      <c r="O90" s="316">
        <f>SUM(L90:N90)*1.5</f>
        <v>2.25</v>
      </c>
      <c r="P90" s="315">
        <f>K90+O90</f>
        <v>2.25</v>
      </c>
      <c r="Q90" s="315">
        <f>J90+P90</f>
        <v>3.75</v>
      </c>
      <c r="R90" s="315">
        <f>Q90/2</f>
        <v>1.875</v>
      </c>
    </row>
    <row r="91" spans="1:18" ht="19.5">
      <c r="A91" s="506"/>
      <c r="B91" s="507" t="s">
        <v>188</v>
      </c>
      <c r="C91" s="507"/>
      <c r="D91" s="507"/>
      <c r="E91" s="477">
        <f>SUM(E92:E95)</f>
        <v>0</v>
      </c>
      <c r="F91" s="477">
        <f aca="true" t="shared" si="37" ref="F91:Q91">SUM(F92:F95)</f>
        <v>0</v>
      </c>
      <c r="G91" s="477">
        <f t="shared" si="37"/>
        <v>0</v>
      </c>
      <c r="H91" s="477">
        <f t="shared" si="37"/>
        <v>0</v>
      </c>
      <c r="I91" s="477">
        <f t="shared" si="37"/>
        <v>0</v>
      </c>
      <c r="J91" s="477">
        <f t="shared" si="37"/>
        <v>0</v>
      </c>
      <c r="K91" s="477">
        <f>SUM(K92:K95)</f>
        <v>0</v>
      </c>
      <c r="L91" s="477">
        <f t="shared" si="37"/>
        <v>0</v>
      </c>
      <c r="M91" s="477">
        <f t="shared" si="37"/>
        <v>0</v>
      </c>
      <c r="N91" s="477">
        <f t="shared" si="37"/>
        <v>0</v>
      </c>
      <c r="O91" s="477">
        <f t="shared" si="37"/>
        <v>0</v>
      </c>
      <c r="P91" s="477">
        <f t="shared" si="37"/>
        <v>0</v>
      </c>
      <c r="Q91" s="477">
        <f t="shared" si="37"/>
        <v>0</v>
      </c>
      <c r="R91" s="477">
        <f>SUM(R92:R95)</f>
        <v>0</v>
      </c>
    </row>
    <row r="92" spans="1:18" ht="19.5">
      <c r="A92" s="373"/>
      <c r="B92" s="485"/>
      <c r="C92" s="485"/>
      <c r="D92" s="485" t="s">
        <v>189</v>
      </c>
      <c r="E92" s="290">
        <v>0</v>
      </c>
      <c r="F92" s="287">
        <v>0</v>
      </c>
      <c r="G92" s="287">
        <v>0</v>
      </c>
      <c r="H92" s="287">
        <v>0</v>
      </c>
      <c r="I92" s="288">
        <f t="shared" si="30"/>
        <v>0</v>
      </c>
      <c r="J92" s="287">
        <f>E92+I92</f>
        <v>0</v>
      </c>
      <c r="K92" s="287">
        <v>0</v>
      </c>
      <c r="L92" s="287">
        <v>0</v>
      </c>
      <c r="M92" s="287">
        <v>0</v>
      </c>
      <c r="N92" s="287">
        <v>0</v>
      </c>
      <c r="O92" s="288">
        <f>SUM(L92:N92)*1.5</f>
        <v>0</v>
      </c>
      <c r="P92" s="287">
        <f>K92+O92</f>
        <v>0</v>
      </c>
      <c r="Q92" s="287">
        <f>J92+P92</f>
        <v>0</v>
      </c>
      <c r="R92" s="287">
        <f>Q92/2</f>
        <v>0</v>
      </c>
    </row>
    <row r="93" spans="1:18" ht="19.5">
      <c r="A93" s="373"/>
      <c r="B93" s="485"/>
      <c r="C93" s="485"/>
      <c r="D93" s="485" t="s">
        <v>190</v>
      </c>
      <c r="E93" s="290">
        <v>0</v>
      </c>
      <c r="F93" s="287">
        <v>0</v>
      </c>
      <c r="G93" s="287">
        <v>0</v>
      </c>
      <c r="H93" s="287">
        <v>0</v>
      </c>
      <c r="I93" s="288">
        <f t="shared" si="30"/>
        <v>0</v>
      </c>
      <c r="J93" s="287">
        <f>E93+I93</f>
        <v>0</v>
      </c>
      <c r="K93" s="287">
        <v>0</v>
      </c>
      <c r="L93" s="287">
        <v>0</v>
      </c>
      <c r="M93" s="287">
        <v>0</v>
      </c>
      <c r="N93" s="287">
        <v>0</v>
      </c>
      <c r="O93" s="288">
        <f>SUM(L93:N93)*1.5</f>
        <v>0</v>
      </c>
      <c r="P93" s="287">
        <f>K93+O93</f>
        <v>0</v>
      </c>
      <c r="Q93" s="287">
        <f>J93+P93</f>
        <v>0</v>
      </c>
      <c r="R93" s="287">
        <f>Q93/2</f>
        <v>0</v>
      </c>
    </row>
    <row r="94" spans="1:18" ht="19.5">
      <c r="A94" s="373"/>
      <c r="B94" s="485"/>
      <c r="C94" s="485"/>
      <c r="D94" s="485" t="s">
        <v>191</v>
      </c>
      <c r="E94" s="290">
        <v>0</v>
      </c>
      <c r="F94" s="287">
        <v>0</v>
      </c>
      <c r="G94" s="287">
        <v>0</v>
      </c>
      <c r="H94" s="287">
        <v>0</v>
      </c>
      <c r="I94" s="288">
        <f t="shared" si="30"/>
        <v>0</v>
      </c>
      <c r="J94" s="287">
        <f>E94+I94</f>
        <v>0</v>
      </c>
      <c r="K94" s="287">
        <v>0</v>
      </c>
      <c r="L94" s="287">
        <v>0</v>
      </c>
      <c r="M94" s="287">
        <v>0</v>
      </c>
      <c r="N94" s="287">
        <v>0</v>
      </c>
      <c r="O94" s="288">
        <f>SUM(L94:N94)*1.5</f>
        <v>0</v>
      </c>
      <c r="P94" s="287">
        <f>K94+O94</f>
        <v>0</v>
      </c>
      <c r="Q94" s="287">
        <f>J94+P94</f>
        <v>0</v>
      </c>
      <c r="R94" s="287">
        <f>Q94/2</f>
        <v>0</v>
      </c>
    </row>
    <row r="95" spans="1:18" ht="19.5">
      <c r="A95" s="373"/>
      <c r="B95" s="485"/>
      <c r="C95" s="485"/>
      <c r="D95" s="485" t="s">
        <v>192</v>
      </c>
      <c r="E95" s="290">
        <v>0</v>
      </c>
      <c r="F95" s="287">
        <v>0</v>
      </c>
      <c r="G95" s="287">
        <v>0</v>
      </c>
      <c r="H95" s="287">
        <v>0</v>
      </c>
      <c r="I95" s="288">
        <f t="shared" si="30"/>
        <v>0</v>
      </c>
      <c r="J95" s="287">
        <f>E95+I95</f>
        <v>0</v>
      </c>
      <c r="K95" s="287">
        <v>0</v>
      </c>
      <c r="L95" s="287">
        <v>0</v>
      </c>
      <c r="M95" s="287">
        <v>0</v>
      </c>
      <c r="N95" s="287">
        <v>0</v>
      </c>
      <c r="O95" s="288">
        <f>SUM(L95:N95)*1.5</f>
        <v>0</v>
      </c>
      <c r="P95" s="287">
        <f>K95+O95</f>
        <v>0</v>
      </c>
      <c r="Q95" s="287">
        <f>J95+P95</f>
        <v>0</v>
      </c>
      <c r="R95" s="287">
        <f>Q95/2</f>
        <v>0</v>
      </c>
    </row>
    <row r="96" spans="1:18" ht="19.5">
      <c r="A96" s="506"/>
      <c r="B96" s="507" t="s">
        <v>200</v>
      </c>
      <c r="C96" s="507"/>
      <c r="D96" s="507"/>
      <c r="E96" s="477">
        <f>SUM(E97)</f>
        <v>40.83</v>
      </c>
      <c r="F96" s="477">
        <f aca="true" t="shared" si="38" ref="F96:Q96">SUM(F97)</f>
        <v>0</v>
      </c>
      <c r="G96" s="477">
        <f t="shared" si="38"/>
        <v>24.83</v>
      </c>
      <c r="H96" s="477">
        <f t="shared" si="38"/>
        <v>0</v>
      </c>
      <c r="I96" s="477">
        <f t="shared" si="38"/>
        <v>37.245</v>
      </c>
      <c r="J96" s="477">
        <f t="shared" si="38"/>
        <v>78.07499999999999</v>
      </c>
      <c r="K96" s="477">
        <f>SUM(K97)</f>
        <v>17.67</v>
      </c>
      <c r="L96" s="477">
        <f t="shared" si="38"/>
        <v>0</v>
      </c>
      <c r="M96" s="477">
        <f t="shared" si="38"/>
        <v>48</v>
      </c>
      <c r="N96" s="477">
        <f t="shared" si="38"/>
        <v>0.25</v>
      </c>
      <c r="O96" s="477">
        <f t="shared" si="38"/>
        <v>72.375</v>
      </c>
      <c r="P96" s="477">
        <f t="shared" si="38"/>
        <v>90.045</v>
      </c>
      <c r="Q96" s="477">
        <f t="shared" si="38"/>
        <v>168.12</v>
      </c>
      <c r="R96" s="477">
        <f>SUM(R97)</f>
        <v>84.06</v>
      </c>
    </row>
    <row r="97" spans="1:18" ht="19.5">
      <c r="A97" s="373"/>
      <c r="B97" s="485"/>
      <c r="C97" s="485"/>
      <c r="D97" s="485" t="s">
        <v>193</v>
      </c>
      <c r="E97" s="290">
        <v>40.83</v>
      </c>
      <c r="F97" s="287">
        <v>0</v>
      </c>
      <c r="G97" s="19">
        <v>24.83</v>
      </c>
      <c r="H97" s="19"/>
      <c r="I97" s="288">
        <f t="shared" si="30"/>
        <v>37.245</v>
      </c>
      <c r="J97" s="287">
        <f>E97+I97</f>
        <v>78.07499999999999</v>
      </c>
      <c r="K97" s="287">
        <f>17.67</f>
        <v>17.67</v>
      </c>
      <c r="L97" s="287">
        <v>0</v>
      </c>
      <c r="M97" s="287">
        <f>4.5+43.5</f>
        <v>48</v>
      </c>
      <c r="N97" s="287">
        <v>0.25</v>
      </c>
      <c r="O97" s="288">
        <f>SUM(L97:N97)*1.5</f>
        <v>72.375</v>
      </c>
      <c r="P97" s="287">
        <f>K97+O97</f>
        <v>90.045</v>
      </c>
      <c r="Q97" s="287">
        <f>J97+P97</f>
        <v>168.12</v>
      </c>
      <c r="R97" s="287">
        <f>Q97/2</f>
        <v>84.06</v>
      </c>
    </row>
    <row r="98" spans="1:18" ht="19.5">
      <c r="A98" s="506"/>
      <c r="B98" s="507" t="s">
        <v>199</v>
      </c>
      <c r="C98" s="507"/>
      <c r="D98" s="507"/>
      <c r="E98" s="477">
        <f>SUM(E99)</f>
        <v>0</v>
      </c>
      <c r="F98" s="477">
        <f aca="true" t="shared" si="39" ref="F98:Q98">SUM(F99)</f>
        <v>0</v>
      </c>
      <c r="G98" s="477">
        <f t="shared" si="39"/>
        <v>0</v>
      </c>
      <c r="H98" s="477">
        <f t="shared" si="39"/>
        <v>0</v>
      </c>
      <c r="I98" s="477">
        <f t="shared" si="39"/>
        <v>0</v>
      </c>
      <c r="J98" s="477">
        <f t="shared" si="39"/>
        <v>0</v>
      </c>
      <c r="K98" s="477">
        <f>SUM(K99)</f>
        <v>0</v>
      </c>
      <c r="L98" s="477">
        <f t="shared" si="39"/>
        <v>0</v>
      </c>
      <c r="M98" s="477">
        <f t="shared" si="39"/>
        <v>0</v>
      </c>
      <c r="N98" s="477">
        <f t="shared" si="39"/>
        <v>0</v>
      </c>
      <c r="O98" s="477">
        <f t="shared" si="39"/>
        <v>0</v>
      </c>
      <c r="P98" s="477">
        <f t="shared" si="39"/>
        <v>0</v>
      </c>
      <c r="Q98" s="477">
        <f t="shared" si="39"/>
        <v>0</v>
      </c>
      <c r="R98" s="477">
        <f>SUM(R99)</f>
        <v>0</v>
      </c>
    </row>
    <row r="99" spans="1:18" ht="19.5">
      <c r="A99" s="373"/>
      <c r="B99" s="485"/>
      <c r="C99" s="485"/>
      <c r="D99" s="485" t="s">
        <v>198</v>
      </c>
      <c r="E99" s="290">
        <v>0</v>
      </c>
      <c r="F99" s="287">
        <v>0</v>
      </c>
      <c r="G99" s="287">
        <v>0</v>
      </c>
      <c r="H99" s="287">
        <v>0</v>
      </c>
      <c r="I99" s="288">
        <f t="shared" si="30"/>
        <v>0</v>
      </c>
      <c r="J99" s="287">
        <f>E99+I99</f>
        <v>0</v>
      </c>
      <c r="K99" s="287">
        <v>0</v>
      </c>
      <c r="L99" s="287">
        <v>0</v>
      </c>
      <c r="M99" s="287">
        <v>0</v>
      </c>
      <c r="N99" s="287">
        <v>0</v>
      </c>
      <c r="O99" s="288">
        <f>SUM(L99:N99)*1.5</f>
        <v>0</v>
      </c>
      <c r="P99" s="287">
        <f>K99+O99</f>
        <v>0</v>
      </c>
      <c r="Q99" s="287">
        <f>J99+P99</f>
        <v>0</v>
      </c>
      <c r="R99" s="287">
        <f>Q99/2</f>
        <v>0</v>
      </c>
    </row>
    <row r="100" spans="1:18" ht="19.5">
      <c r="A100" s="373"/>
      <c r="B100" s="485"/>
      <c r="C100" s="485"/>
      <c r="D100" s="485"/>
      <c r="E100" s="290"/>
      <c r="F100" s="287"/>
      <c r="G100" s="287"/>
      <c r="H100" s="287"/>
      <c r="I100" s="288"/>
      <c r="J100" s="287"/>
      <c r="K100" s="287"/>
      <c r="L100" s="287"/>
      <c r="M100" s="287"/>
      <c r="N100" s="287"/>
      <c r="O100" s="288"/>
      <c r="P100" s="287"/>
      <c r="Q100" s="287"/>
      <c r="R100" s="287"/>
    </row>
    <row r="101" spans="1:18" ht="19.5">
      <c r="A101" s="483" t="s">
        <v>271</v>
      </c>
      <c r="B101" s="483"/>
      <c r="C101" s="483"/>
      <c r="D101" s="483"/>
      <c r="E101" s="478">
        <f>SUM(E102+E105)</f>
        <v>0</v>
      </c>
      <c r="F101" s="478">
        <f aca="true" t="shared" si="40" ref="F101:R101">SUM(F102+F105)</f>
        <v>0</v>
      </c>
      <c r="G101" s="478">
        <f t="shared" si="40"/>
        <v>23.75</v>
      </c>
      <c r="H101" s="478">
        <f t="shared" si="40"/>
        <v>0</v>
      </c>
      <c r="I101" s="478">
        <f t="shared" si="40"/>
        <v>35.625</v>
      </c>
      <c r="J101" s="478">
        <f t="shared" si="40"/>
        <v>35.625</v>
      </c>
      <c r="K101" s="478">
        <f t="shared" si="40"/>
        <v>0</v>
      </c>
      <c r="L101" s="478">
        <f t="shared" si="40"/>
        <v>0</v>
      </c>
      <c r="M101" s="478">
        <f t="shared" si="40"/>
        <v>23.5</v>
      </c>
      <c r="N101" s="478">
        <f t="shared" si="40"/>
        <v>0</v>
      </c>
      <c r="O101" s="478">
        <f t="shared" si="40"/>
        <v>35.25</v>
      </c>
      <c r="P101" s="478">
        <f t="shared" si="40"/>
        <v>35.25</v>
      </c>
      <c r="Q101" s="478">
        <f t="shared" si="40"/>
        <v>70.875</v>
      </c>
      <c r="R101" s="478">
        <f t="shared" si="40"/>
        <v>35.4375</v>
      </c>
    </row>
    <row r="102" spans="1:18" ht="19.5">
      <c r="A102" s="373"/>
      <c r="B102" s="485" t="s">
        <v>264</v>
      </c>
      <c r="C102" s="485"/>
      <c r="D102" s="485"/>
      <c r="E102" s="287">
        <v>0</v>
      </c>
      <c r="F102" s="287">
        <v>0</v>
      </c>
      <c r="G102" s="252">
        <v>15.5</v>
      </c>
      <c r="H102" s="287">
        <v>0</v>
      </c>
      <c r="I102" s="288">
        <f t="shared" si="30"/>
        <v>23.25</v>
      </c>
      <c r="J102" s="287">
        <f>E102+I102</f>
        <v>23.25</v>
      </c>
      <c r="K102" s="287">
        <v>0</v>
      </c>
      <c r="L102" s="287">
        <v>0</v>
      </c>
      <c r="M102" s="287">
        <f>6+12</f>
        <v>18</v>
      </c>
      <c r="N102" s="287">
        <v>0</v>
      </c>
      <c r="O102" s="288">
        <f>SUM(L102:N102)*1.5</f>
        <v>27</v>
      </c>
      <c r="P102" s="287">
        <f>K102+O102</f>
        <v>27</v>
      </c>
      <c r="Q102" s="287">
        <f>J102+P102</f>
        <v>50.25</v>
      </c>
      <c r="R102" s="287">
        <f>Q102/2</f>
        <v>25.125</v>
      </c>
    </row>
    <row r="103" spans="1:18" ht="19.5">
      <c r="A103" s="486"/>
      <c r="B103" s="22"/>
      <c r="C103" s="22"/>
      <c r="D103" s="22" t="s">
        <v>197</v>
      </c>
      <c r="E103" s="315">
        <v>0</v>
      </c>
      <c r="F103" s="315">
        <v>0</v>
      </c>
      <c r="G103" s="103">
        <v>4</v>
      </c>
      <c r="H103" s="315">
        <v>0</v>
      </c>
      <c r="I103" s="316">
        <f t="shared" si="30"/>
        <v>6</v>
      </c>
      <c r="J103" s="315">
        <f>E103+I103</f>
        <v>6</v>
      </c>
      <c r="K103" s="315">
        <v>0</v>
      </c>
      <c r="L103" s="315">
        <v>0</v>
      </c>
      <c r="M103" s="315">
        <v>2</v>
      </c>
      <c r="N103" s="315">
        <v>0</v>
      </c>
      <c r="O103" s="316">
        <f>SUM(L103:N103)*1.5</f>
        <v>3</v>
      </c>
      <c r="P103" s="315">
        <f>K103+O103</f>
        <v>3</v>
      </c>
      <c r="Q103" s="315">
        <f>J103+P103</f>
        <v>9</v>
      </c>
      <c r="R103" s="315">
        <f>Q103/2</f>
        <v>4.5</v>
      </c>
    </row>
    <row r="104" spans="1:18" ht="19.5">
      <c r="A104" s="486"/>
      <c r="B104" s="22"/>
      <c r="C104" s="22"/>
      <c r="D104" s="22" t="s">
        <v>312</v>
      </c>
      <c r="E104" s="315">
        <v>0</v>
      </c>
      <c r="F104" s="315">
        <v>0</v>
      </c>
      <c r="G104" s="103">
        <v>4</v>
      </c>
      <c r="H104" s="315">
        <v>0</v>
      </c>
      <c r="I104" s="316">
        <f>SUM(F104:H104)*1.5</f>
        <v>6</v>
      </c>
      <c r="J104" s="315">
        <f>E104+I104</f>
        <v>6</v>
      </c>
      <c r="K104" s="315">
        <v>0</v>
      </c>
      <c r="L104" s="315">
        <v>0</v>
      </c>
      <c r="M104" s="315">
        <v>0</v>
      </c>
      <c r="N104" s="315">
        <v>0</v>
      </c>
      <c r="O104" s="316">
        <f>SUM(L104:N104)*1.5</f>
        <v>0</v>
      </c>
      <c r="P104" s="315">
        <f>K104+O104</f>
        <v>0</v>
      </c>
      <c r="Q104" s="315">
        <f>J104+P104</f>
        <v>6</v>
      </c>
      <c r="R104" s="315">
        <f>Q104/2</f>
        <v>3</v>
      </c>
    </row>
    <row r="105" spans="1:18" ht="19.5">
      <c r="A105" s="373"/>
      <c r="B105" s="485" t="s">
        <v>265</v>
      </c>
      <c r="C105" s="485"/>
      <c r="D105" s="485"/>
      <c r="E105" s="287">
        <v>0</v>
      </c>
      <c r="F105" s="287">
        <v>0</v>
      </c>
      <c r="G105" s="252">
        <v>8.25</v>
      </c>
      <c r="H105" s="287">
        <v>0</v>
      </c>
      <c r="I105" s="288">
        <f t="shared" si="30"/>
        <v>12.375</v>
      </c>
      <c r="J105" s="287">
        <f>E105+I105</f>
        <v>12.375</v>
      </c>
      <c r="K105" s="287">
        <v>0</v>
      </c>
      <c r="L105" s="287">
        <v>0</v>
      </c>
      <c r="M105" s="287">
        <f>1.5+4</f>
        <v>5.5</v>
      </c>
      <c r="N105" s="287">
        <v>0</v>
      </c>
      <c r="O105" s="288">
        <f>SUM(L105:N105)*1.5</f>
        <v>8.25</v>
      </c>
      <c r="P105" s="287">
        <f>K105+O105</f>
        <v>8.25</v>
      </c>
      <c r="Q105" s="287">
        <f>J105+P105</f>
        <v>20.625</v>
      </c>
      <c r="R105" s="287">
        <f>Q105/2</f>
        <v>10.3125</v>
      </c>
    </row>
    <row r="106" spans="1:18" ht="19.5">
      <c r="A106" s="486"/>
      <c r="B106" s="22"/>
      <c r="C106" s="22"/>
      <c r="D106" s="22" t="s">
        <v>197</v>
      </c>
      <c r="E106" s="315">
        <v>0</v>
      </c>
      <c r="F106" s="315">
        <v>0</v>
      </c>
      <c r="G106" s="315">
        <v>1</v>
      </c>
      <c r="H106" s="315"/>
      <c r="I106" s="316">
        <f t="shared" si="30"/>
        <v>1.5</v>
      </c>
      <c r="J106" s="315">
        <f>E106+I106</f>
        <v>1.5</v>
      </c>
      <c r="K106" s="315">
        <v>0</v>
      </c>
      <c r="L106" s="315">
        <v>0</v>
      </c>
      <c r="M106" s="315">
        <v>4</v>
      </c>
      <c r="N106" s="315">
        <v>0</v>
      </c>
      <c r="O106" s="316">
        <f>SUM(L106:N106)*1.5</f>
        <v>6</v>
      </c>
      <c r="P106" s="315">
        <f>K106+O106</f>
        <v>6</v>
      </c>
      <c r="Q106" s="315">
        <f>J106+P106</f>
        <v>7.5</v>
      </c>
      <c r="R106" s="315">
        <f>Q106/2</f>
        <v>3.75</v>
      </c>
    </row>
    <row r="107" spans="1:18" ht="19.5">
      <c r="A107" s="483" t="s">
        <v>272</v>
      </c>
      <c r="B107" s="483"/>
      <c r="C107" s="483"/>
      <c r="D107" s="483"/>
      <c r="E107" s="479">
        <f>SUM(E108+E112+E115+E120+E126+E129)</f>
        <v>58.67</v>
      </c>
      <c r="F107" s="479">
        <f aca="true" t="shared" si="41" ref="F107:R107">SUM(F108+F112+F115+F120+F126+F129)</f>
        <v>0</v>
      </c>
      <c r="G107" s="479">
        <f t="shared" si="41"/>
        <v>2</v>
      </c>
      <c r="H107" s="479">
        <f t="shared" si="41"/>
        <v>0</v>
      </c>
      <c r="I107" s="479">
        <f t="shared" si="41"/>
        <v>5</v>
      </c>
      <c r="J107" s="479">
        <f t="shared" si="41"/>
        <v>63.67</v>
      </c>
      <c r="K107" s="479">
        <f>SUM(K108+K112+K115+K120+K126+K129)</f>
        <v>0</v>
      </c>
      <c r="L107" s="479">
        <f t="shared" si="41"/>
        <v>0</v>
      </c>
      <c r="M107" s="479">
        <f t="shared" si="41"/>
        <v>11.92</v>
      </c>
      <c r="N107" s="479">
        <f t="shared" si="41"/>
        <v>0</v>
      </c>
      <c r="O107" s="479">
        <f t="shared" si="41"/>
        <v>29.8</v>
      </c>
      <c r="P107" s="479">
        <f t="shared" si="41"/>
        <v>29.8</v>
      </c>
      <c r="Q107" s="479">
        <f t="shared" si="41"/>
        <v>93.47</v>
      </c>
      <c r="R107" s="479">
        <f t="shared" si="41"/>
        <v>46.735</v>
      </c>
    </row>
    <row r="108" spans="1:18" ht="19.5">
      <c r="A108" s="373"/>
      <c r="B108" s="504" t="s">
        <v>263</v>
      </c>
      <c r="C108" s="485"/>
      <c r="D108" s="485"/>
      <c r="E108" s="288">
        <f>SUM(E109:E110)</f>
        <v>0</v>
      </c>
      <c r="F108" s="288">
        <f aca="true" t="shared" si="42" ref="F108:R108">SUM(F109:F110)</f>
        <v>0</v>
      </c>
      <c r="G108" s="288">
        <f t="shared" si="42"/>
        <v>0</v>
      </c>
      <c r="H108" s="288">
        <f t="shared" si="42"/>
        <v>0</v>
      </c>
      <c r="I108" s="288">
        <f t="shared" si="42"/>
        <v>0</v>
      </c>
      <c r="J108" s="288">
        <f t="shared" si="42"/>
        <v>0</v>
      </c>
      <c r="K108" s="288">
        <f>SUM(K109:K110)</f>
        <v>0</v>
      </c>
      <c r="L108" s="288">
        <f t="shared" si="42"/>
        <v>0</v>
      </c>
      <c r="M108" s="288">
        <f t="shared" si="42"/>
        <v>0.17</v>
      </c>
      <c r="N108" s="288">
        <f t="shared" si="42"/>
        <v>0</v>
      </c>
      <c r="O108" s="288">
        <f t="shared" si="42"/>
        <v>0.42500000000000004</v>
      </c>
      <c r="P108" s="288">
        <f t="shared" si="42"/>
        <v>0.42500000000000004</v>
      </c>
      <c r="Q108" s="288">
        <f t="shared" si="42"/>
        <v>0.42500000000000004</v>
      </c>
      <c r="R108" s="288">
        <f t="shared" si="42"/>
        <v>0.21250000000000002</v>
      </c>
    </row>
    <row r="109" spans="1:18" ht="19.5">
      <c r="A109" s="373"/>
      <c r="B109" s="485"/>
      <c r="C109" s="485"/>
      <c r="D109" s="485" t="s">
        <v>216</v>
      </c>
      <c r="E109" s="290">
        <v>0</v>
      </c>
      <c r="F109" s="19">
        <v>0</v>
      </c>
      <c r="G109" s="19"/>
      <c r="H109" s="287">
        <v>0</v>
      </c>
      <c r="I109" s="288">
        <f>SUM(F109:H109)*2.5</f>
        <v>0</v>
      </c>
      <c r="J109" s="288">
        <f>E109+I109</f>
        <v>0</v>
      </c>
      <c r="K109" s="287">
        <v>0</v>
      </c>
      <c r="L109" s="287">
        <v>0</v>
      </c>
      <c r="M109" s="287">
        <v>0.17</v>
      </c>
      <c r="N109" s="287">
        <v>0</v>
      </c>
      <c r="O109" s="288">
        <f>SUM(L109:N109)*2.5</f>
        <v>0.42500000000000004</v>
      </c>
      <c r="P109" s="288">
        <f>K109+O109</f>
        <v>0.42500000000000004</v>
      </c>
      <c r="Q109" s="288">
        <f>J109+P109</f>
        <v>0.42500000000000004</v>
      </c>
      <c r="R109" s="288">
        <f>Q109/2</f>
        <v>0.21250000000000002</v>
      </c>
    </row>
    <row r="110" spans="1:18" ht="19.5">
      <c r="A110" s="373"/>
      <c r="B110" s="485"/>
      <c r="C110" s="485"/>
      <c r="D110" s="485" t="s">
        <v>217</v>
      </c>
      <c r="E110" s="290">
        <v>0</v>
      </c>
      <c r="F110" s="287">
        <v>0</v>
      </c>
      <c r="G110" s="287">
        <v>0</v>
      </c>
      <c r="H110" s="287">
        <v>0</v>
      </c>
      <c r="I110" s="288">
        <f>SUM(F110:H110)*2.5</f>
        <v>0</v>
      </c>
      <c r="J110" s="288">
        <f>E110+I110</f>
        <v>0</v>
      </c>
      <c r="K110" s="287">
        <v>0</v>
      </c>
      <c r="L110" s="287">
        <v>0</v>
      </c>
      <c r="M110" s="287">
        <v>0</v>
      </c>
      <c r="N110" s="287">
        <v>0</v>
      </c>
      <c r="O110" s="288">
        <f>SUM(L110:N110)*2.5</f>
        <v>0</v>
      </c>
      <c r="P110" s="288">
        <f>K110+O110</f>
        <v>0</v>
      </c>
      <c r="Q110" s="288">
        <f>J110+P110</f>
        <v>0</v>
      </c>
      <c r="R110" s="288">
        <f>Q110/2</f>
        <v>0</v>
      </c>
    </row>
    <row r="111" spans="1:18" ht="19.5">
      <c r="A111" s="486"/>
      <c r="B111" s="22"/>
      <c r="C111" s="22"/>
      <c r="D111" s="22" t="s">
        <v>197</v>
      </c>
      <c r="E111" s="315">
        <v>0</v>
      </c>
      <c r="F111" s="315">
        <v>0</v>
      </c>
      <c r="G111" s="23"/>
      <c r="H111" s="315">
        <v>0</v>
      </c>
      <c r="I111" s="316">
        <f>SUM(F111:H111)*2.5</f>
        <v>0</v>
      </c>
      <c r="J111" s="316">
        <f>E111+I111</f>
        <v>0</v>
      </c>
      <c r="K111" s="315">
        <v>0</v>
      </c>
      <c r="L111" s="315">
        <v>0</v>
      </c>
      <c r="M111" s="315">
        <v>1</v>
      </c>
      <c r="N111" s="315">
        <v>0</v>
      </c>
      <c r="O111" s="316">
        <f>SUM(L111:N111)*2.5</f>
        <v>2.5</v>
      </c>
      <c r="P111" s="316">
        <f>K111+O111</f>
        <v>2.5</v>
      </c>
      <c r="Q111" s="316">
        <f>J111+P111</f>
        <v>2.5</v>
      </c>
      <c r="R111" s="316">
        <f>Q111/2</f>
        <v>1.25</v>
      </c>
    </row>
    <row r="112" spans="1:18" ht="19.5">
      <c r="A112" s="373"/>
      <c r="B112" s="504" t="s">
        <v>219</v>
      </c>
      <c r="C112" s="485"/>
      <c r="D112" s="485"/>
      <c r="E112" s="287">
        <f>SUM(E113:E114)</f>
        <v>0</v>
      </c>
      <c r="F112" s="287">
        <f aca="true" t="shared" si="43" ref="F112:R112">SUM(F113:F114)</f>
        <v>0</v>
      </c>
      <c r="G112" s="287">
        <f t="shared" si="43"/>
        <v>0</v>
      </c>
      <c r="H112" s="287">
        <f t="shared" si="43"/>
        <v>0</v>
      </c>
      <c r="I112" s="287">
        <f t="shared" si="43"/>
        <v>0</v>
      </c>
      <c r="J112" s="287">
        <f t="shared" si="43"/>
        <v>0</v>
      </c>
      <c r="K112" s="287">
        <f aca="true" t="shared" si="44" ref="K112:P112">SUM(K113:K114)</f>
        <v>0</v>
      </c>
      <c r="L112" s="287">
        <f t="shared" si="44"/>
        <v>0</v>
      </c>
      <c r="M112" s="287">
        <f t="shared" si="44"/>
        <v>0</v>
      </c>
      <c r="N112" s="287">
        <f t="shared" si="44"/>
        <v>0</v>
      </c>
      <c r="O112" s="287">
        <f t="shared" si="44"/>
        <v>0</v>
      </c>
      <c r="P112" s="287">
        <f t="shared" si="44"/>
        <v>0</v>
      </c>
      <c r="Q112" s="287">
        <f t="shared" si="43"/>
        <v>0</v>
      </c>
      <c r="R112" s="287">
        <f t="shared" si="43"/>
        <v>0</v>
      </c>
    </row>
    <row r="113" spans="1:18" ht="19.5">
      <c r="A113" s="373"/>
      <c r="B113" s="485"/>
      <c r="C113" s="485"/>
      <c r="D113" s="485" t="s">
        <v>222</v>
      </c>
      <c r="E113" s="290">
        <v>0</v>
      </c>
      <c r="F113" s="287">
        <v>0</v>
      </c>
      <c r="G113" s="287">
        <v>0</v>
      </c>
      <c r="H113" s="287">
        <v>0</v>
      </c>
      <c r="I113" s="288">
        <f>SUM(F113:H113)*2.5</f>
        <v>0</v>
      </c>
      <c r="J113" s="288">
        <f>E113+I113</f>
        <v>0</v>
      </c>
      <c r="K113" s="287">
        <v>0</v>
      </c>
      <c r="L113" s="287">
        <v>0</v>
      </c>
      <c r="M113" s="287">
        <v>0</v>
      </c>
      <c r="N113" s="287">
        <v>0</v>
      </c>
      <c r="O113" s="288">
        <f>SUM(L113:N113)*2.5</f>
        <v>0</v>
      </c>
      <c r="P113" s="288">
        <f>K113+O113</f>
        <v>0</v>
      </c>
      <c r="Q113" s="288">
        <f>J113+P113</f>
        <v>0</v>
      </c>
      <c r="R113" s="288">
        <f>Q113/2</f>
        <v>0</v>
      </c>
    </row>
    <row r="114" spans="1:18" ht="19.5">
      <c r="A114" s="373"/>
      <c r="B114" s="485"/>
      <c r="C114" s="485"/>
      <c r="D114" s="485" t="s">
        <v>223</v>
      </c>
      <c r="E114" s="290">
        <v>0</v>
      </c>
      <c r="F114" s="287">
        <v>0</v>
      </c>
      <c r="G114" s="287">
        <v>0</v>
      </c>
      <c r="H114" s="287">
        <v>0</v>
      </c>
      <c r="I114" s="288">
        <f>SUM(F114:H114)*2.5</f>
        <v>0</v>
      </c>
      <c r="J114" s="288">
        <f>E114+I114</f>
        <v>0</v>
      </c>
      <c r="K114" s="287">
        <v>0</v>
      </c>
      <c r="L114" s="287">
        <v>0</v>
      </c>
      <c r="M114" s="287">
        <v>0</v>
      </c>
      <c r="N114" s="287">
        <v>0</v>
      </c>
      <c r="O114" s="288">
        <f>SUM(L114:N114)*2.5</f>
        <v>0</v>
      </c>
      <c r="P114" s="288">
        <f>K114+O114</f>
        <v>0</v>
      </c>
      <c r="Q114" s="288">
        <f>J114+P114</f>
        <v>0</v>
      </c>
      <c r="R114" s="288">
        <f>Q114/2</f>
        <v>0</v>
      </c>
    </row>
    <row r="115" spans="1:18" ht="19.5">
      <c r="A115" s="373"/>
      <c r="B115" s="504" t="s">
        <v>218</v>
      </c>
      <c r="C115" s="485"/>
      <c r="D115" s="485"/>
      <c r="E115" s="288">
        <f aca="true" t="shared" si="45" ref="E115:J115">SUM(E116:E118)</f>
        <v>0</v>
      </c>
      <c r="F115" s="288">
        <f t="shared" si="45"/>
        <v>0</v>
      </c>
      <c r="G115" s="288">
        <f t="shared" si="45"/>
        <v>0</v>
      </c>
      <c r="H115" s="288">
        <f t="shared" si="45"/>
        <v>0</v>
      </c>
      <c r="I115" s="288">
        <f t="shared" si="45"/>
        <v>0</v>
      </c>
      <c r="J115" s="288">
        <f t="shared" si="45"/>
        <v>0</v>
      </c>
      <c r="K115" s="288">
        <f>SUM(K116+K118)</f>
        <v>0</v>
      </c>
      <c r="L115" s="288">
        <f aca="true" t="shared" si="46" ref="L115:R115">SUM(L116+L118)</f>
        <v>0</v>
      </c>
      <c r="M115" s="288">
        <f t="shared" si="46"/>
        <v>7.83</v>
      </c>
      <c r="N115" s="288">
        <f t="shared" si="46"/>
        <v>0</v>
      </c>
      <c r="O115" s="288">
        <f t="shared" si="46"/>
        <v>19.575</v>
      </c>
      <c r="P115" s="288">
        <f t="shared" si="46"/>
        <v>19.575</v>
      </c>
      <c r="Q115" s="288">
        <f t="shared" si="46"/>
        <v>19.575</v>
      </c>
      <c r="R115" s="288">
        <f t="shared" si="46"/>
        <v>9.7875</v>
      </c>
    </row>
    <row r="116" spans="1:18" ht="19.5">
      <c r="A116" s="373"/>
      <c r="B116" s="485"/>
      <c r="C116" s="485"/>
      <c r="D116" s="485" t="s">
        <v>220</v>
      </c>
      <c r="E116" s="290">
        <v>0</v>
      </c>
      <c r="F116" s="19">
        <v>0</v>
      </c>
      <c r="G116" s="19">
        <v>0</v>
      </c>
      <c r="H116" s="287">
        <v>0</v>
      </c>
      <c r="I116" s="288">
        <f>SUM(F116:H116)*2.5</f>
        <v>0</v>
      </c>
      <c r="J116" s="288">
        <f>E116+I116</f>
        <v>0</v>
      </c>
      <c r="K116" s="287"/>
      <c r="L116" s="287">
        <v>0</v>
      </c>
      <c r="M116" s="287">
        <v>4.08</v>
      </c>
      <c r="N116" s="287">
        <v>0</v>
      </c>
      <c r="O116" s="288">
        <f>SUM(L116:N116)*2.5</f>
        <v>10.2</v>
      </c>
      <c r="P116" s="288">
        <f>K116+O116</f>
        <v>10.2</v>
      </c>
      <c r="Q116" s="288">
        <f>J116+P116</f>
        <v>10.2</v>
      </c>
      <c r="R116" s="288">
        <f>Q116/2</f>
        <v>5.1</v>
      </c>
    </row>
    <row r="117" spans="1:18" ht="19.5">
      <c r="A117" s="486"/>
      <c r="B117" s="22"/>
      <c r="C117" s="22"/>
      <c r="D117" s="22" t="s">
        <v>197</v>
      </c>
      <c r="E117" s="315">
        <v>0</v>
      </c>
      <c r="F117" s="315">
        <v>0</v>
      </c>
      <c r="G117" s="23"/>
      <c r="H117" s="315"/>
      <c r="I117" s="316">
        <f>SUM(F117:H117)*2.5</f>
        <v>0</v>
      </c>
      <c r="J117" s="316">
        <f>E117+I117</f>
        <v>0</v>
      </c>
      <c r="K117" s="315">
        <v>0</v>
      </c>
      <c r="L117" s="315">
        <v>0</v>
      </c>
      <c r="M117" s="315">
        <v>3.5</v>
      </c>
      <c r="N117" s="315">
        <v>0</v>
      </c>
      <c r="O117" s="316">
        <f>SUM(L117:N117)*2.5</f>
        <v>8.75</v>
      </c>
      <c r="P117" s="316">
        <f>K117+O117</f>
        <v>8.75</v>
      </c>
      <c r="Q117" s="316">
        <f>J117+P117</f>
        <v>8.75</v>
      </c>
      <c r="R117" s="316">
        <f>Q117/2</f>
        <v>4.375</v>
      </c>
    </row>
    <row r="118" spans="1:18" ht="19.5">
      <c r="A118" s="373"/>
      <c r="B118" s="485"/>
      <c r="C118" s="485"/>
      <c r="D118" s="485" t="s">
        <v>221</v>
      </c>
      <c r="E118" s="290">
        <v>0</v>
      </c>
      <c r="F118" s="287">
        <v>0</v>
      </c>
      <c r="G118" s="287">
        <v>0</v>
      </c>
      <c r="H118" s="287">
        <v>0</v>
      </c>
      <c r="I118" s="288">
        <f>SUM(F118:H118)*2.5</f>
        <v>0</v>
      </c>
      <c r="J118" s="288">
        <f>E118+I118</f>
        <v>0</v>
      </c>
      <c r="K118" s="287">
        <v>0</v>
      </c>
      <c r="L118" s="287">
        <v>0</v>
      </c>
      <c r="M118" s="287">
        <v>3.75</v>
      </c>
      <c r="N118" s="287">
        <v>0</v>
      </c>
      <c r="O118" s="288">
        <f>SUM(L118:N118)*2.5</f>
        <v>9.375</v>
      </c>
      <c r="P118" s="288">
        <f>K118+O118</f>
        <v>9.375</v>
      </c>
      <c r="Q118" s="288">
        <f>J118+P118</f>
        <v>9.375</v>
      </c>
      <c r="R118" s="288">
        <f>Q118/2</f>
        <v>4.6875</v>
      </c>
    </row>
    <row r="119" spans="1:18" ht="19.5">
      <c r="A119" s="486"/>
      <c r="B119" s="22"/>
      <c r="C119" s="22"/>
      <c r="D119" s="22" t="s">
        <v>197</v>
      </c>
      <c r="E119" s="315">
        <v>0</v>
      </c>
      <c r="F119" s="315">
        <v>0</v>
      </c>
      <c r="G119" s="23"/>
      <c r="H119" s="315"/>
      <c r="I119" s="316">
        <f>SUM(F119:H119)*2.5</f>
        <v>0</v>
      </c>
      <c r="J119" s="316">
        <f>E119+I119</f>
        <v>0</v>
      </c>
      <c r="K119" s="315">
        <v>0</v>
      </c>
      <c r="L119" s="315">
        <v>0</v>
      </c>
      <c r="M119" s="315">
        <v>1.33</v>
      </c>
      <c r="N119" s="315">
        <v>0</v>
      </c>
      <c r="O119" s="316">
        <f>SUM(L119:N119)*2.5</f>
        <v>3.325</v>
      </c>
      <c r="P119" s="316">
        <f>K119+O119</f>
        <v>3.325</v>
      </c>
      <c r="Q119" s="316">
        <f>J119+P119</f>
        <v>3.325</v>
      </c>
      <c r="R119" s="316">
        <f>Q119/2</f>
        <v>1.6625</v>
      </c>
    </row>
    <row r="120" spans="1:18" ht="19.5">
      <c r="A120" s="373"/>
      <c r="B120" s="504" t="s">
        <v>178</v>
      </c>
      <c r="C120" s="485"/>
      <c r="D120" s="485"/>
      <c r="E120" s="288">
        <f>SUM(E121+E123+E124)</f>
        <v>0</v>
      </c>
      <c r="F120" s="288">
        <f aca="true" t="shared" si="47" ref="F120:R120">SUM(F121+F123+F124)</f>
        <v>0</v>
      </c>
      <c r="G120" s="288">
        <f t="shared" si="47"/>
        <v>2</v>
      </c>
      <c r="H120" s="288">
        <f t="shared" si="47"/>
        <v>0</v>
      </c>
      <c r="I120" s="288">
        <f t="shared" si="47"/>
        <v>5</v>
      </c>
      <c r="J120" s="288">
        <f t="shared" si="47"/>
        <v>5</v>
      </c>
      <c r="K120" s="288">
        <f>SUM(K121+K123+K124)</f>
        <v>0</v>
      </c>
      <c r="L120" s="288">
        <f t="shared" si="47"/>
        <v>0</v>
      </c>
      <c r="M120" s="288">
        <f>SUM(M121+M123+M124)</f>
        <v>2.42</v>
      </c>
      <c r="N120" s="288">
        <f t="shared" si="47"/>
        <v>0</v>
      </c>
      <c r="O120" s="288">
        <f t="shared" si="47"/>
        <v>6.05</v>
      </c>
      <c r="P120" s="288">
        <f t="shared" si="47"/>
        <v>6.05</v>
      </c>
      <c r="Q120" s="288">
        <f t="shared" si="47"/>
        <v>11.05</v>
      </c>
      <c r="R120" s="288">
        <f t="shared" si="47"/>
        <v>5.525</v>
      </c>
    </row>
    <row r="121" spans="1:18" ht="19.5">
      <c r="A121" s="373"/>
      <c r="B121" s="485"/>
      <c r="C121" s="485"/>
      <c r="D121" s="485" t="s">
        <v>224</v>
      </c>
      <c r="E121" s="290">
        <v>0</v>
      </c>
      <c r="F121" s="19">
        <v>0</v>
      </c>
      <c r="G121" s="19">
        <v>2</v>
      </c>
      <c r="H121" s="287">
        <v>0</v>
      </c>
      <c r="I121" s="288">
        <f>SUM(F121:H121)*2.5</f>
        <v>5</v>
      </c>
      <c r="J121" s="288">
        <f>E121+I121</f>
        <v>5</v>
      </c>
      <c r="K121" s="287">
        <v>0</v>
      </c>
      <c r="L121" s="287">
        <v>0</v>
      </c>
      <c r="M121" s="287">
        <f>0.25+0.17+2</f>
        <v>2.42</v>
      </c>
      <c r="N121" s="287">
        <v>0</v>
      </c>
      <c r="O121" s="288">
        <f>SUM(L121:N121)*2.5</f>
        <v>6.05</v>
      </c>
      <c r="P121" s="288">
        <f>K121+O121</f>
        <v>6.05</v>
      </c>
      <c r="Q121" s="288">
        <f>J121+P121</f>
        <v>11.05</v>
      </c>
      <c r="R121" s="288">
        <f>Q121/2</f>
        <v>5.525</v>
      </c>
    </row>
    <row r="122" spans="1:18" ht="19.5">
      <c r="A122" s="486"/>
      <c r="B122" s="22"/>
      <c r="C122" s="22"/>
      <c r="D122" s="22" t="s">
        <v>197</v>
      </c>
      <c r="E122" s="315">
        <v>0</v>
      </c>
      <c r="F122" s="315">
        <v>0</v>
      </c>
      <c r="G122" s="23">
        <v>1.5</v>
      </c>
      <c r="H122" s="315">
        <v>0</v>
      </c>
      <c r="I122" s="316">
        <f>SUM(F122:H122)*2.5</f>
        <v>3.75</v>
      </c>
      <c r="J122" s="316">
        <f>E122+I122</f>
        <v>3.75</v>
      </c>
      <c r="K122" s="315">
        <v>0</v>
      </c>
      <c r="L122" s="315">
        <v>0</v>
      </c>
      <c r="M122" s="315">
        <f>0.5+1.5</f>
        <v>2</v>
      </c>
      <c r="N122" s="315">
        <v>0</v>
      </c>
      <c r="O122" s="316">
        <f>SUM(L122:N122)*2.5</f>
        <v>5</v>
      </c>
      <c r="P122" s="316">
        <f>K122+O122</f>
        <v>5</v>
      </c>
      <c r="Q122" s="316">
        <f>J122+P122</f>
        <v>8.75</v>
      </c>
      <c r="R122" s="316">
        <f>Q122/2</f>
        <v>4.375</v>
      </c>
    </row>
    <row r="123" spans="1:18" ht="19.5">
      <c r="A123" s="373"/>
      <c r="B123" s="485"/>
      <c r="C123" s="485"/>
      <c r="D123" s="485" t="s">
        <v>225</v>
      </c>
      <c r="E123" s="287">
        <v>0</v>
      </c>
      <c r="F123" s="287">
        <v>0</v>
      </c>
      <c r="G123" s="251">
        <v>0</v>
      </c>
      <c r="H123" s="287">
        <v>0</v>
      </c>
      <c r="I123" s="288">
        <f>SUM(F123:H123)*2.5</f>
        <v>0</v>
      </c>
      <c r="J123" s="288">
        <f>E123+I123</f>
        <v>0</v>
      </c>
      <c r="K123" s="287">
        <v>0</v>
      </c>
      <c r="L123" s="287">
        <v>0</v>
      </c>
      <c r="M123" s="287"/>
      <c r="N123" s="287">
        <v>0</v>
      </c>
      <c r="O123" s="288">
        <f>SUM(L123:N123)*2.5</f>
        <v>0</v>
      </c>
      <c r="P123" s="288">
        <f>K123+O123</f>
        <v>0</v>
      </c>
      <c r="Q123" s="288">
        <f>J123+P123</f>
        <v>0</v>
      </c>
      <c r="R123" s="288">
        <f>Q123/2</f>
        <v>0</v>
      </c>
    </row>
    <row r="124" spans="1:18" ht="19.5">
      <c r="A124" s="373"/>
      <c r="B124" s="485"/>
      <c r="C124" s="485"/>
      <c r="D124" s="485" t="s">
        <v>226</v>
      </c>
      <c r="E124" s="290">
        <v>0</v>
      </c>
      <c r="F124" s="287">
        <v>0</v>
      </c>
      <c r="G124" s="287">
        <v>0</v>
      </c>
      <c r="H124" s="287">
        <v>0</v>
      </c>
      <c r="I124" s="288">
        <f>SUM(F124:H124)*2.5</f>
        <v>0</v>
      </c>
      <c r="J124" s="288">
        <f>E124+I124</f>
        <v>0</v>
      </c>
      <c r="K124" s="287">
        <v>0</v>
      </c>
      <c r="L124" s="287">
        <v>0</v>
      </c>
      <c r="M124" s="287">
        <v>0</v>
      </c>
      <c r="N124" s="287">
        <v>0</v>
      </c>
      <c r="O124" s="288">
        <f>SUM(L124:N124)*2.5</f>
        <v>0</v>
      </c>
      <c r="P124" s="288">
        <f>K124+O124</f>
        <v>0</v>
      </c>
      <c r="Q124" s="288">
        <f>J124+P124</f>
        <v>0</v>
      </c>
      <c r="R124" s="288">
        <f>Q124/2</f>
        <v>0</v>
      </c>
    </row>
    <row r="125" spans="1:18" ht="19.5">
      <c r="A125" s="486"/>
      <c r="B125" s="22"/>
      <c r="C125" s="22"/>
      <c r="D125" s="22" t="s">
        <v>197</v>
      </c>
      <c r="E125" s="315"/>
      <c r="F125" s="315"/>
      <c r="G125" s="315"/>
      <c r="H125" s="315"/>
      <c r="I125" s="316">
        <f>SUM(F125:H125)*2.5</f>
        <v>0</v>
      </c>
      <c r="J125" s="316">
        <f>E125+I125</f>
        <v>0</v>
      </c>
      <c r="K125" s="315"/>
      <c r="L125" s="315"/>
      <c r="M125" s="315"/>
      <c r="N125" s="315"/>
      <c r="O125" s="316">
        <f>SUM(L125:N125)*2.5</f>
        <v>0</v>
      </c>
      <c r="P125" s="316">
        <f>K125+O125</f>
        <v>0</v>
      </c>
      <c r="Q125" s="316">
        <f>J125+P125</f>
        <v>0</v>
      </c>
      <c r="R125" s="316">
        <f>Q125/2</f>
        <v>0</v>
      </c>
    </row>
    <row r="126" spans="1:18" ht="19.5">
      <c r="A126" s="373"/>
      <c r="B126" s="504" t="s">
        <v>227</v>
      </c>
      <c r="C126" s="485"/>
      <c r="D126" s="485"/>
      <c r="E126" s="288">
        <f>SUM(E127)</f>
        <v>0</v>
      </c>
      <c r="F126" s="288">
        <f aca="true" t="shared" si="48" ref="F126:R126">SUM(F127)</f>
        <v>0</v>
      </c>
      <c r="G126" s="288">
        <f t="shared" si="48"/>
        <v>0</v>
      </c>
      <c r="H126" s="288">
        <f t="shared" si="48"/>
        <v>0</v>
      </c>
      <c r="I126" s="288">
        <f t="shared" si="48"/>
        <v>0</v>
      </c>
      <c r="J126" s="288">
        <f t="shared" si="48"/>
        <v>0</v>
      </c>
      <c r="K126" s="288">
        <f>SUM(K127)</f>
        <v>0</v>
      </c>
      <c r="L126" s="288">
        <f t="shared" si="48"/>
        <v>0</v>
      </c>
      <c r="M126" s="288">
        <f t="shared" si="48"/>
        <v>1.5</v>
      </c>
      <c r="N126" s="288">
        <f t="shared" si="48"/>
        <v>0</v>
      </c>
      <c r="O126" s="288">
        <f t="shared" si="48"/>
        <v>3.75</v>
      </c>
      <c r="P126" s="288">
        <f t="shared" si="48"/>
        <v>3.75</v>
      </c>
      <c r="Q126" s="288">
        <f t="shared" si="48"/>
        <v>3.75</v>
      </c>
      <c r="R126" s="288">
        <f t="shared" si="48"/>
        <v>1.875</v>
      </c>
    </row>
    <row r="127" spans="1:18" ht="19.5">
      <c r="A127" s="373"/>
      <c r="B127" s="485"/>
      <c r="C127" s="485"/>
      <c r="D127" s="485" t="s">
        <v>228</v>
      </c>
      <c r="E127" s="290">
        <v>0</v>
      </c>
      <c r="F127" s="19">
        <v>0</v>
      </c>
      <c r="G127" s="19"/>
      <c r="H127" s="287">
        <v>0</v>
      </c>
      <c r="I127" s="288">
        <f>SUM(F127:H127)*2.5</f>
        <v>0</v>
      </c>
      <c r="J127" s="288">
        <f>E127+I127</f>
        <v>0</v>
      </c>
      <c r="K127" s="287">
        <v>0</v>
      </c>
      <c r="L127" s="287">
        <v>0</v>
      </c>
      <c r="M127" s="287">
        <v>1.5</v>
      </c>
      <c r="N127" s="287">
        <v>0</v>
      </c>
      <c r="O127" s="288">
        <f>SUM(L127:N127)*2.5</f>
        <v>3.75</v>
      </c>
      <c r="P127" s="288">
        <f>K127+O127</f>
        <v>3.75</v>
      </c>
      <c r="Q127" s="288">
        <f>J127+P127</f>
        <v>3.75</v>
      </c>
      <c r="R127" s="288">
        <f>Q127/2</f>
        <v>1.875</v>
      </c>
    </row>
    <row r="128" spans="1:18" ht="19.5">
      <c r="A128" s="486"/>
      <c r="B128" s="22"/>
      <c r="C128" s="22"/>
      <c r="D128" s="22" t="s">
        <v>197</v>
      </c>
      <c r="E128" s="315"/>
      <c r="F128" s="315"/>
      <c r="G128" s="23"/>
      <c r="H128" s="315"/>
      <c r="I128" s="316">
        <f>SUM(F128:H128)*2.5</f>
        <v>0</v>
      </c>
      <c r="J128" s="316">
        <f>E128+I128</f>
        <v>0</v>
      </c>
      <c r="K128" s="315"/>
      <c r="L128" s="315"/>
      <c r="M128" s="315">
        <v>3.33</v>
      </c>
      <c r="N128" s="315"/>
      <c r="O128" s="316">
        <f>SUM(L128:N128)*2.5</f>
        <v>8.325</v>
      </c>
      <c r="P128" s="316">
        <f>K128+O128</f>
        <v>8.325</v>
      </c>
      <c r="Q128" s="316">
        <f>J128+P128</f>
        <v>8.325</v>
      </c>
      <c r="R128" s="316">
        <f>Q128/2</f>
        <v>4.1625</v>
      </c>
    </row>
    <row r="129" spans="1:18" ht="19.5">
      <c r="A129" s="373"/>
      <c r="B129" s="504" t="s">
        <v>229</v>
      </c>
      <c r="C129" s="485"/>
      <c r="D129" s="485"/>
      <c r="E129" s="287">
        <f>SUM(E130:E131)</f>
        <v>58.67</v>
      </c>
      <c r="F129" s="287">
        <f aca="true" t="shared" si="49" ref="F129:R129">SUM(F130:F131)</f>
        <v>0</v>
      </c>
      <c r="G129" s="287">
        <f t="shared" si="49"/>
        <v>0</v>
      </c>
      <c r="H129" s="287">
        <f t="shared" si="49"/>
        <v>0</v>
      </c>
      <c r="I129" s="287">
        <f t="shared" si="49"/>
        <v>0</v>
      </c>
      <c r="J129" s="287">
        <f t="shared" si="49"/>
        <v>58.67</v>
      </c>
      <c r="K129" s="287">
        <f>SUM(K130:K131)</f>
        <v>0</v>
      </c>
      <c r="L129" s="287">
        <f t="shared" si="49"/>
        <v>0</v>
      </c>
      <c r="M129" s="287">
        <f t="shared" si="49"/>
        <v>0</v>
      </c>
      <c r="N129" s="287">
        <f t="shared" si="49"/>
        <v>0</v>
      </c>
      <c r="O129" s="287">
        <f t="shared" si="49"/>
        <v>0</v>
      </c>
      <c r="P129" s="287">
        <f t="shared" si="49"/>
        <v>0</v>
      </c>
      <c r="Q129" s="287">
        <f t="shared" si="49"/>
        <v>58.67</v>
      </c>
      <c r="R129" s="287">
        <f t="shared" si="49"/>
        <v>29.335</v>
      </c>
    </row>
    <row r="130" spans="1:18" ht="19.5">
      <c r="A130" s="373"/>
      <c r="B130" s="485"/>
      <c r="C130" s="485"/>
      <c r="D130" s="485" t="s">
        <v>230</v>
      </c>
      <c r="E130" s="290">
        <v>0</v>
      </c>
      <c r="F130" s="287">
        <v>0</v>
      </c>
      <c r="G130" s="287">
        <v>0</v>
      </c>
      <c r="H130" s="287">
        <v>0</v>
      </c>
      <c r="I130" s="288">
        <f>SUM(F130:H130)*2.5</f>
        <v>0</v>
      </c>
      <c r="J130" s="288">
        <f>E130+I130</f>
        <v>0</v>
      </c>
      <c r="K130" s="287">
        <v>0</v>
      </c>
      <c r="L130" s="287">
        <v>0</v>
      </c>
      <c r="M130" s="287">
        <v>0</v>
      </c>
      <c r="N130" s="287">
        <v>0</v>
      </c>
      <c r="O130" s="288">
        <f>SUM(L130:N130)*2.5</f>
        <v>0</v>
      </c>
      <c r="P130" s="288">
        <f>K130+O130</f>
        <v>0</v>
      </c>
      <c r="Q130" s="288">
        <f>J130+P130</f>
        <v>0</v>
      </c>
      <c r="R130" s="288">
        <f>Q130/2</f>
        <v>0</v>
      </c>
    </row>
    <row r="131" spans="1:18" ht="19.5">
      <c r="A131" s="373"/>
      <c r="B131" s="485"/>
      <c r="C131" s="485"/>
      <c r="D131" s="485" t="s">
        <v>231</v>
      </c>
      <c r="E131" s="290">
        <v>58.67</v>
      </c>
      <c r="F131" s="287">
        <v>0</v>
      </c>
      <c r="G131" s="287">
        <v>0</v>
      </c>
      <c r="H131" s="287">
        <v>0</v>
      </c>
      <c r="I131" s="288">
        <f>SUM(F131:H131)*2.5</f>
        <v>0</v>
      </c>
      <c r="J131" s="288">
        <f>E131+I131</f>
        <v>58.67</v>
      </c>
      <c r="K131" s="287">
        <v>0</v>
      </c>
      <c r="L131" s="287">
        <v>0</v>
      </c>
      <c r="M131" s="287">
        <v>0</v>
      </c>
      <c r="N131" s="287">
        <v>0</v>
      </c>
      <c r="O131" s="288">
        <f>SUM(L131:N131)*2.5</f>
        <v>0</v>
      </c>
      <c r="P131" s="288">
        <f>K131+O131</f>
        <v>0</v>
      </c>
      <c r="Q131" s="288">
        <f>J131+P131</f>
        <v>58.67</v>
      </c>
      <c r="R131" s="288">
        <f>Q131/2</f>
        <v>29.335</v>
      </c>
    </row>
    <row r="132" spans="1:18" ht="19.5">
      <c r="A132" s="483" t="s">
        <v>273</v>
      </c>
      <c r="B132" s="483"/>
      <c r="C132" s="483"/>
      <c r="D132" s="483"/>
      <c r="E132" s="479">
        <f>SUM(E133+E136+E137)</f>
        <v>20.11</v>
      </c>
      <c r="F132" s="479">
        <f aca="true" t="shared" si="50" ref="F132:R132">SUM(F133+F136+F137)</f>
        <v>0</v>
      </c>
      <c r="G132" s="479">
        <f t="shared" si="50"/>
        <v>0</v>
      </c>
      <c r="H132" s="479">
        <f t="shared" si="50"/>
        <v>0</v>
      </c>
      <c r="I132" s="479">
        <f t="shared" si="50"/>
        <v>0</v>
      </c>
      <c r="J132" s="479">
        <f t="shared" si="50"/>
        <v>20.11</v>
      </c>
      <c r="K132" s="479">
        <f>SUM(K133+K136+K137)</f>
        <v>38.27</v>
      </c>
      <c r="L132" s="479">
        <f t="shared" si="50"/>
        <v>0</v>
      </c>
      <c r="M132" s="479">
        <f t="shared" si="50"/>
        <v>0</v>
      </c>
      <c r="N132" s="479">
        <f t="shared" si="50"/>
        <v>0</v>
      </c>
      <c r="O132" s="479">
        <f t="shared" si="50"/>
        <v>0</v>
      </c>
      <c r="P132" s="479">
        <f t="shared" si="50"/>
        <v>38.27</v>
      </c>
      <c r="Q132" s="479">
        <f t="shared" si="50"/>
        <v>58.38</v>
      </c>
      <c r="R132" s="479">
        <f t="shared" si="50"/>
        <v>29.19</v>
      </c>
    </row>
    <row r="133" spans="1:18" ht="19.5">
      <c r="A133" s="373"/>
      <c r="B133" s="504" t="s">
        <v>234</v>
      </c>
      <c r="C133" s="485"/>
      <c r="D133" s="485"/>
      <c r="E133" s="287">
        <f>SUM(E134:E135)</f>
        <v>20.11</v>
      </c>
      <c r="F133" s="287">
        <f aca="true" t="shared" si="51" ref="F133:R133">SUM(F134:F135)</f>
        <v>0</v>
      </c>
      <c r="G133" s="287">
        <f t="shared" si="51"/>
        <v>0</v>
      </c>
      <c r="H133" s="287">
        <f t="shared" si="51"/>
        <v>0</v>
      </c>
      <c r="I133" s="287">
        <f t="shared" si="51"/>
        <v>0</v>
      </c>
      <c r="J133" s="287">
        <f t="shared" si="51"/>
        <v>20.11</v>
      </c>
      <c r="K133" s="287">
        <f>SUM(K134:K135)</f>
        <v>38.27</v>
      </c>
      <c r="L133" s="287">
        <f t="shared" si="51"/>
        <v>0</v>
      </c>
      <c r="M133" s="287">
        <f t="shared" si="51"/>
        <v>0</v>
      </c>
      <c r="N133" s="287">
        <f t="shared" si="51"/>
        <v>0</v>
      </c>
      <c r="O133" s="287">
        <f t="shared" si="51"/>
        <v>0</v>
      </c>
      <c r="P133" s="287">
        <f t="shared" si="51"/>
        <v>38.27</v>
      </c>
      <c r="Q133" s="287">
        <f t="shared" si="51"/>
        <v>58.38</v>
      </c>
      <c r="R133" s="287">
        <f t="shared" si="51"/>
        <v>29.19</v>
      </c>
    </row>
    <row r="134" spans="1:18" ht="19.5">
      <c r="A134" s="485"/>
      <c r="B134" s="485"/>
      <c r="C134" s="485"/>
      <c r="D134" s="485" t="s">
        <v>232</v>
      </c>
      <c r="E134" s="287">
        <v>20.11</v>
      </c>
      <c r="F134" s="287">
        <v>0</v>
      </c>
      <c r="G134" s="287">
        <v>0</v>
      </c>
      <c r="H134" s="287">
        <v>0</v>
      </c>
      <c r="I134" s="288">
        <f>SUM(F134:H134)*2.5</f>
        <v>0</v>
      </c>
      <c r="J134" s="288">
        <f>E134+I134</f>
        <v>20.11</v>
      </c>
      <c r="K134" s="287">
        <v>38.27</v>
      </c>
      <c r="L134" s="287">
        <v>0</v>
      </c>
      <c r="M134" s="287">
        <v>0</v>
      </c>
      <c r="N134" s="287">
        <v>0</v>
      </c>
      <c r="O134" s="288">
        <f>SUM(L134:N134)*2.5</f>
        <v>0</v>
      </c>
      <c r="P134" s="288">
        <f>K134+O134</f>
        <v>38.27</v>
      </c>
      <c r="Q134" s="288">
        <f>J134+P134</f>
        <v>58.38</v>
      </c>
      <c r="R134" s="288">
        <f>Q134/2</f>
        <v>29.19</v>
      </c>
    </row>
    <row r="135" spans="1:18" ht="19.5">
      <c r="A135" s="485"/>
      <c r="B135" s="485"/>
      <c r="C135" s="485"/>
      <c r="D135" s="485" t="s">
        <v>233</v>
      </c>
      <c r="E135" s="287">
        <v>0</v>
      </c>
      <c r="F135" s="287">
        <v>0</v>
      </c>
      <c r="G135" s="287">
        <v>0</v>
      </c>
      <c r="H135" s="287">
        <v>0</v>
      </c>
      <c r="I135" s="288">
        <f>SUM(F135:H135)*2.5</f>
        <v>0</v>
      </c>
      <c r="J135" s="288">
        <f>E135+I135</f>
        <v>0</v>
      </c>
      <c r="K135" s="287">
        <v>0</v>
      </c>
      <c r="L135" s="287">
        <v>0</v>
      </c>
      <c r="M135" s="287"/>
      <c r="N135" s="287">
        <v>0</v>
      </c>
      <c r="O135" s="288">
        <f>SUM(L135:N135)*2.5</f>
        <v>0</v>
      </c>
      <c r="P135" s="288">
        <f>K135+O135</f>
        <v>0</v>
      </c>
      <c r="Q135" s="288">
        <f>J135+P135</f>
        <v>0</v>
      </c>
      <c r="R135" s="288">
        <f>Q135/2</f>
        <v>0</v>
      </c>
    </row>
    <row r="136" spans="1:18" ht="19.5">
      <c r="A136" s="373"/>
      <c r="B136" s="504" t="s">
        <v>235</v>
      </c>
      <c r="C136" s="485"/>
      <c r="D136" s="485"/>
      <c r="E136" s="287">
        <v>0</v>
      </c>
      <c r="F136" s="287">
        <v>0</v>
      </c>
      <c r="G136" s="287">
        <v>0</v>
      </c>
      <c r="H136" s="287">
        <v>0</v>
      </c>
      <c r="I136" s="288">
        <f>SUM(F136:H136)*2.5</f>
        <v>0</v>
      </c>
      <c r="J136" s="288">
        <f>E136+I136</f>
        <v>0</v>
      </c>
      <c r="K136" s="287">
        <v>0</v>
      </c>
      <c r="L136" s="287">
        <v>0</v>
      </c>
      <c r="M136" s="287">
        <v>0</v>
      </c>
      <c r="N136" s="287">
        <v>0</v>
      </c>
      <c r="O136" s="288">
        <f>SUM(L136:N136)*2.5</f>
        <v>0</v>
      </c>
      <c r="P136" s="288">
        <f>K136+O136</f>
        <v>0</v>
      </c>
      <c r="Q136" s="288">
        <f>J136+P136</f>
        <v>0</v>
      </c>
      <c r="R136" s="288">
        <f>Q136/2</f>
        <v>0</v>
      </c>
    </row>
    <row r="137" spans="1:18" ht="19.5">
      <c r="A137" s="373"/>
      <c r="B137" s="504" t="s">
        <v>236</v>
      </c>
      <c r="C137" s="485"/>
      <c r="D137" s="485"/>
      <c r="E137" s="287">
        <v>0</v>
      </c>
      <c r="F137" s="287">
        <v>0</v>
      </c>
      <c r="G137" s="287">
        <v>0</v>
      </c>
      <c r="H137" s="287">
        <v>0</v>
      </c>
      <c r="I137" s="288">
        <f>SUM(F137:H137)*2.5</f>
        <v>0</v>
      </c>
      <c r="J137" s="288">
        <f>E137+I137</f>
        <v>0</v>
      </c>
      <c r="K137" s="287">
        <v>0</v>
      </c>
      <c r="L137" s="287">
        <v>0</v>
      </c>
      <c r="M137" s="287">
        <v>0</v>
      </c>
      <c r="N137" s="287">
        <v>0</v>
      </c>
      <c r="O137" s="288">
        <f>SUM(L137:N137)*2.5</f>
        <v>0</v>
      </c>
      <c r="P137" s="288">
        <f>K137+O137</f>
        <v>0</v>
      </c>
      <c r="Q137" s="288">
        <f>J137+P137</f>
        <v>0</v>
      </c>
      <c r="R137" s="288">
        <f>Q137/2</f>
        <v>0</v>
      </c>
    </row>
    <row r="138" spans="1:18" ht="19.5">
      <c r="A138" s="483" t="s">
        <v>274</v>
      </c>
      <c r="B138" s="483"/>
      <c r="C138" s="483"/>
      <c r="D138" s="483"/>
      <c r="E138" s="478">
        <f>SUM(E139+E144)</f>
        <v>0</v>
      </c>
      <c r="F138" s="478">
        <f aca="true" t="shared" si="52" ref="F138:O138">SUM(F139+F144)</f>
        <v>0</v>
      </c>
      <c r="G138" s="478">
        <f t="shared" si="52"/>
        <v>0</v>
      </c>
      <c r="H138" s="478">
        <f t="shared" si="52"/>
        <v>0</v>
      </c>
      <c r="I138" s="478">
        <f t="shared" si="52"/>
        <v>0</v>
      </c>
      <c r="J138" s="478">
        <f t="shared" si="52"/>
        <v>0</v>
      </c>
      <c r="K138" s="478">
        <f>SUM(K139+K144)</f>
        <v>0</v>
      </c>
      <c r="L138" s="478">
        <f t="shared" si="52"/>
        <v>0</v>
      </c>
      <c r="M138" s="478">
        <f t="shared" si="52"/>
        <v>2</v>
      </c>
      <c r="N138" s="478">
        <f t="shared" si="52"/>
        <v>0</v>
      </c>
      <c r="O138" s="478">
        <f t="shared" si="52"/>
        <v>5</v>
      </c>
      <c r="P138" s="478">
        <f>SUM(K138+O138)</f>
        <v>5</v>
      </c>
      <c r="Q138" s="478">
        <f>SUM(J138+P138)</f>
        <v>5</v>
      </c>
      <c r="R138" s="478">
        <f>SUM(Q138/2)</f>
        <v>2.5</v>
      </c>
    </row>
    <row r="139" spans="1:18" ht="19.5">
      <c r="A139" s="504"/>
      <c r="B139" s="504" t="s">
        <v>237</v>
      </c>
      <c r="C139" s="485"/>
      <c r="D139" s="504"/>
      <c r="E139" s="287">
        <f>SUM(E140:E143)</f>
        <v>0</v>
      </c>
      <c r="F139" s="302">
        <f aca="true" t="shared" si="53" ref="F139:O139">SUM(F140:F143)</f>
        <v>0</v>
      </c>
      <c r="G139" s="302">
        <f t="shared" si="53"/>
        <v>0</v>
      </c>
      <c r="H139" s="302">
        <f t="shared" si="53"/>
        <v>0</v>
      </c>
      <c r="I139" s="302">
        <f t="shared" si="53"/>
        <v>0</v>
      </c>
      <c r="J139" s="287">
        <f t="shared" si="53"/>
        <v>0</v>
      </c>
      <c r="K139" s="302">
        <f>SUM(K140:K143)</f>
        <v>0</v>
      </c>
      <c r="L139" s="302">
        <f t="shared" si="53"/>
        <v>0</v>
      </c>
      <c r="M139" s="302">
        <f t="shared" si="53"/>
        <v>2</v>
      </c>
      <c r="N139" s="302">
        <f t="shared" si="53"/>
        <v>0</v>
      </c>
      <c r="O139" s="302">
        <f t="shared" si="53"/>
        <v>5</v>
      </c>
      <c r="P139" s="391">
        <f aca="true" t="shared" si="54" ref="P139:P144">SUM(K139+O139)</f>
        <v>5</v>
      </c>
      <c r="Q139" s="391">
        <f aca="true" t="shared" si="55" ref="Q139:Q144">SUM(J139+P139)</f>
        <v>5</v>
      </c>
      <c r="R139" s="391">
        <f aca="true" t="shared" si="56" ref="R139:R144">SUM(Q139/2)</f>
        <v>2.5</v>
      </c>
    </row>
    <row r="140" spans="1:18" ht="19.5">
      <c r="A140" s="504"/>
      <c r="B140" s="485"/>
      <c r="C140" s="485"/>
      <c r="D140" s="485" t="s">
        <v>239</v>
      </c>
      <c r="E140" s="287">
        <v>0</v>
      </c>
      <c r="F140" s="287">
        <v>0</v>
      </c>
      <c r="G140" s="287"/>
      <c r="H140" s="302">
        <v>0</v>
      </c>
      <c r="I140" s="288">
        <f>SUM(F140:H140)*2.5</f>
        <v>0</v>
      </c>
      <c r="J140" s="287">
        <f>E140+I140</f>
        <v>0</v>
      </c>
      <c r="K140" s="287">
        <v>0</v>
      </c>
      <c r="L140" s="302">
        <v>0</v>
      </c>
      <c r="M140" s="287"/>
      <c r="N140" s="302">
        <v>0</v>
      </c>
      <c r="O140" s="288">
        <f>SUM(L140:N140)*2.5</f>
        <v>0</v>
      </c>
      <c r="P140" s="391">
        <f t="shared" si="54"/>
        <v>0</v>
      </c>
      <c r="Q140" s="391">
        <f t="shared" si="55"/>
        <v>0</v>
      </c>
      <c r="R140" s="391">
        <f t="shared" si="56"/>
        <v>0</v>
      </c>
    </row>
    <row r="141" spans="1:18" ht="19.5">
      <c r="A141" s="504"/>
      <c r="B141" s="485"/>
      <c r="C141" s="485"/>
      <c r="D141" s="485" t="s">
        <v>315</v>
      </c>
      <c r="E141" s="287">
        <v>0</v>
      </c>
      <c r="F141" s="287">
        <v>0</v>
      </c>
      <c r="G141" s="287">
        <v>0</v>
      </c>
      <c r="H141" s="302">
        <v>0</v>
      </c>
      <c r="I141" s="288">
        <v>0</v>
      </c>
      <c r="J141" s="287">
        <v>0</v>
      </c>
      <c r="K141" s="287">
        <v>0</v>
      </c>
      <c r="L141" s="302">
        <v>0</v>
      </c>
      <c r="M141" s="287">
        <v>2</v>
      </c>
      <c r="N141" s="302">
        <v>0</v>
      </c>
      <c r="O141" s="288">
        <f>SUM(L141:N141)*2.5</f>
        <v>5</v>
      </c>
      <c r="P141" s="391">
        <f t="shared" si="54"/>
        <v>5</v>
      </c>
      <c r="Q141" s="391">
        <f t="shared" si="55"/>
        <v>5</v>
      </c>
      <c r="R141" s="391">
        <f t="shared" si="56"/>
        <v>2.5</v>
      </c>
    </row>
    <row r="142" spans="1:18" ht="19.5">
      <c r="A142" s="504"/>
      <c r="B142" s="485"/>
      <c r="C142" s="485"/>
      <c r="D142" s="485" t="s">
        <v>240</v>
      </c>
      <c r="E142" s="290">
        <v>0</v>
      </c>
      <c r="F142" s="302">
        <v>0</v>
      </c>
      <c r="G142" s="302">
        <v>0</v>
      </c>
      <c r="H142" s="302">
        <v>0</v>
      </c>
      <c r="I142" s="288">
        <f>SUM(F142:H142)*2.5</f>
        <v>0</v>
      </c>
      <c r="J142" s="287">
        <f>E142+I142</f>
        <v>0</v>
      </c>
      <c r="K142" s="287">
        <v>0</v>
      </c>
      <c r="L142" s="302">
        <v>0</v>
      </c>
      <c r="M142" s="302">
        <v>0</v>
      </c>
      <c r="N142" s="302">
        <v>0</v>
      </c>
      <c r="O142" s="288">
        <f>SUM(L142:N142)*2.5</f>
        <v>0</v>
      </c>
      <c r="P142" s="391">
        <f t="shared" si="54"/>
        <v>0</v>
      </c>
      <c r="Q142" s="391">
        <f t="shared" si="55"/>
        <v>0</v>
      </c>
      <c r="R142" s="391">
        <f t="shared" si="56"/>
        <v>0</v>
      </c>
    </row>
    <row r="143" spans="1:18" ht="19.5">
      <c r="A143" s="504"/>
      <c r="B143" s="485"/>
      <c r="C143" s="485"/>
      <c r="D143" s="485" t="s">
        <v>241</v>
      </c>
      <c r="E143" s="290">
        <v>0</v>
      </c>
      <c r="F143" s="302">
        <v>0</v>
      </c>
      <c r="G143" s="302">
        <v>0</v>
      </c>
      <c r="H143" s="302">
        <v>0</v>
      </c>
      <c r="I143" s="288">
        <f>SUM(F143:H143)*2.5</f>
        <v>0</v>
      </c>
      <c r="J143" s="287">
        <f>E143+I143</f>
        <v>0</v>
      </c>
      <c r="K143" s="287">
        <v>0</v>
      </c>
      <c r="L143" s="302">
        <v>0</v>
      </c>
      <c r="M143" s="302">
        <v>0</v>
      </c>
      <c r="N143" s="302">
        <v>0</v>
      </c>
      <c r="O143" s="288">
        <f>SUM(L143:N143)*2.5</f>
        <v>0</v>
      </c>
      <c r="P143" s="391">
        <f t="shared" si="54"/>
        <v>0</v>
      </c>
      <c r="Q143" s="391">
        <f t="shared" si="55"/>
        <v>0</v>
      </c>
      <c r="R143" s="391">
        <f t="shared" si="56"/>
        <v>0</v>
      </c>
    </row>
    <row r="144" spans="1:18" ht="19.5">
      <c r="A144" s="373"/>
      <c r="B144" s="504" t="s">
        <v>238</v>
      </c>
      <c r="C144" s="485"/>
      <c r="D144" s="485"/>
      <c r="E144" s="287">
        <v>0</v>
      </c>
      <c r="F144" s="287">
        <v>0</v>
      </c>
      <c r="G144" s="287">
        <v>0</v>
      </c>
      <c r="H144" s="287">
        <v>0</v>
      </c>
      <c r="I144" s="288">
        <f>SUM(F144:H144)*2.5</f>
        <v>0</v>
      </c>
      <c r="J144" s="287">
        <f>E144+I144</f>
        <v>0</v>
      </c>
      <c r="K144" s="287">
        <v>0</v>
      </c>
      <c r="L144" s="287">
        <v>0</v>
      </c>
      <c r="M144" s="287">
        <v>0</v>
      </c>
      <c r="N144" s="287">
        <v>0</v>
      </c>
      <c r="O144" s="288">
        <f>SUM(L144:N144)*2.5</f>
        <v>0</v>
      </c>
      <c r="P144" s="391">
        <f t="shared" si="54"/>
        <v>0</v>
      </c>
      <c r="Q144" s="391">
        <f t="shared" si="55"/>
        <v>0</v>
      </c>
      <c r="R144" s="391">
        <f t="shared" si="56"/>
        <v>0</v>
      </c>
    </row>
    <row r="145" spans="1:18" ht="19.5">
      <c r="A145" s="483" t="s">
        <v>304</v>
      </c>
      <c r="B145" s="483"/>
      <c r="C145" s="483"/>
      <c r="D145" s="483"/>
      <c r="E145" s="478">
        <f>SUM(E146)</f>
        <v>0</v>
      </c>
      <c r="F145" s="478">
        <f aca="true" t="shared" si="57" ref="F145:R145">SUM(F146)</f>
        <v>0</v>
      </c>
      <c r="G145" s="478">
        <f t="shared" si="57"/>
        <v>0</v>
      </c>
      <c r="H145" s="478">
        <f t="shared" si="57"/>
        <v>0</v>
      </c>
      <c r="I145" s="478">
        <f t="shared" si="57"/>
        <v>0</v>
      </c>
      <c r="J145" s="478">
        <f t="shared" si="57"/>
        <v>0</v>
      </c>
      <c r="K145" s="478">
        <f t="shared" si="57"/>
        <v>0</v>
      </c>
      <c r="L145" s="478">
        <f t="shared" si="57"/>
        <v>0</v>
      </c>
      <c r="M145" s="478">
        <f t="shared" si="57"/>
        <v>0</v>
      </c>
      <c r="N145" s="478">
        <f t="shared" si="57"/>
        <v>0</v>
      </c>
      <c r="O145" s="478">
        <f t="shared" si="57"/>
        <v>0</v>
      </c>
      <c r="P145" s="478">
        <f t="shared" si="57"/>
        <v>0</v>
      </c>
      <c r="Q145" s="478">
        <f t="shared" si="57"/>
        <v>0</v>
      </c>
      <c r="R145" s="478">
        <f t="shared" si="57"/>
        <v>0</v>
      </c>
    </row>
    <row r="146" spans="1:18" ht="19.5">
      <c r="A146" s="504"/>
      <c r="B146" s="504" t="s">
        <v>305</v>
      </c>
      <c r="C146" s="485"/>
      <c r="D146" s="504"/>
      <c r="E146" s="287">
        <f>SUM(E146)</f>
        <v>0</v>
      </c>
      <c r="F146" s="287">
        <f aca="true" t="shared" si="58" ref="F146:O146">SUM(F147:F149)</f>
        <v>0</v>
      </c>
      <c r="G146" s="287">
        <f t="shared" si="58"/>
        <v>0</v>
      </c>
      <c r="H146" s="287">
        <f t="shared" si="58"/>
        <v>0</v>
      </c>
      <c r="I146" s="287">
        <f t="shared" si="58"/>
        <v>0</v>
      </c>
      <c r="J146" s="287">
        <f t="shared" si="58"/>
        <v>0</v>
      </c>
      <c r="K146" s="287">
        <v>0</v>
      </c>
      <c r="L146" s="287">
        <f t="shared" si="58"/>
        <v>0</v>
      </c>
      <c r="M146" s="287">
        <f t="shared" si="58"/>
        <v>0</v>
      </c>
      <c r="N146" s="287">
        <f t="shared" si="58"/>
        <v>0</v>
      </c>
      <c r="O146" s="287">
        <f t="shared" si="58"/>
        <v>0</v>
      </c>
      <c r="P146" s="358">
        <f>SUM(K146+O146)</f>
        <v>0</v>
      </c>
      <c r="Q146" s="358">
        <f>SUM(J146+P146)</f>
        <v>0</v>
      </c>
      <c r="R146" s="358">
        <f>Q146/2</f>
        <v>0</v>
      </c>
    </row>
    <row r="147" spans="1:18" ht="19.5">
      <c r="A147" s="483" t="s">
        <v>306</v>
      </c>
      <c r="B147" s="483"/>
      <c r="C147" s="483"/>
      <c r="D147" s="483"/>
      <c r="E147" s="478">
        <f>SUM(E148)</f>
        <v>0</v>
      </c>
      <c r="F147" s="478">
        <f aca="true" t="shared" si="59" ref="F147:R147">SUM(F148)</f>
        <v>0</v>
      </c>
      <c r="G147" s="478">
        <f t="shared" si="59"/>
        <v>0</v>
      </c>
      <c r="H147" s="478">
        <f t="shared" si="59"/>
        <v>0</v>
      </c>
      <c r="I147" s="478">
        <f t="shared" si="59"/>
        <v>0</v>
      </c>
      <c r="J147" s="478">
        <f t="shared" si="59"/>
        <v>0</v>
      </c>
      <c r="K147" s="478">
        <f t="shared" si="59"/>
        <v>0</v>
      </c>
      <c r="L147" s="478">
        <f t="shared" si="59"/>
        <v>0</v>
      </c>
      <c r="M147" s="478">
        <f t="shared" si="59"/>
        <v>0</v>
      </c>
      <c r="N147" s="478">
        <f t="shared" si="59"/>
        <v>0</v>
      </c>
      <c r="O147" s="478">
        <f t="shared" si="59"/>
        <v>0</v>
      </c>
      <c r="P147" s="478">
        <f t="shared" si="59"/>
        <v>0</v>
      </c>
      <c r="Q147" s="478">
        <f t="shared" si="59"/>
        <v>0</v>
      </c>
      <c r="R147" s="478">
        <f t="shared" si="59"/>
        <v>0</v>
      </c>
    </row>
    <row r="148" spans="1:18" ht="19.5">
      <c r="A148" s="504"/>
      <c r="B148" s="504" t="s">
        <v>305</v>
      </c>
      <c r="C148" s="485"/>
      <c r="D148" s="504"/>
      <c r="E148" s="287">
        <f>SUM(E149:E151)</f>
        <v>0</v>
      </c>
      <c r="F148" s="287">
        <f aca="true" t="shared" si="60" ref="F148:O148">SUM(F149:F151)</f>
        <v>0</v>
      </c>
      <c r="G148" s="287">
        <f t="shared" si="60"/>
        <v>0</v>
      </c>
      <c r="H148" s="287">
        <f t="shared" si="60"/>
        <v>0</v>
      </c>
      <c r="I148" s="287">
        <f t="shared" si="60"/>
        <v>0</v>
      </c>
      <c r="J148" s="287">
        <f t="shared" si="60"/>
        <v>0</v>
      </c>
      <c r="K148" s="287">
        <v>0</v>
      </c>
      <c r="L148" s="287">
        <f t="shared" si="60"/>
        <v>0</v>
      </c>
      <c r="M148" s="287">
        <f t="shared" si="60"/>
        <v>0</v>
      </c>
      <c r="N148" s="287">
        <f t="shared" si="60"/>
        <v>0</v>
      </c>
      <c r="O148" s="287">
        <f t="shared" si="60"/>
        <v>0</v>
      </c>
      <c r="P148" s="358">
        <f>SUM(K148+O148)</f>
        <v>0</v>
      </c>
      <c r="Q148" s="358">
        <f>SUM(J148+P148)</f>
        <v>0</v>
      </c>
      <c r="R148" s="358">
        <f>Q148/2</f>
        <v>0</v>
      </c>
    </row>
    <row r="149" spans="1:18" ht="19.5">
      <c r="A149" s="483" t="s">
        <v>307</v>
      </c>
      <c r="B149" s="483"/>
      <c r="C149" s="483"/>
      <c r="D149" s="483"/>
      <c r="E149" s="478">
        <f>SUM(E150)</f>
        <v>0</v>
      </c>
      <c r="F149" s="478">
        <f aca="true" t="shared" si="61" ref="F149:R149">SUM(F150)</f>
        <v>0</v>
      </c>
      <c r="G149" s="478">
        <f t="shared" si="61"/>
        <v>0</v>
      </c>
      <c r="H149" s="478">
        <f t="shared" si="61"/>
        <v>0</v>
      </c>
      <c r="I149" s="478">
        <f t="shared" si="61"/>
        <v>0</v>
      </c>
      <c r="J149" s="478">
        <f t="shared" si="61"/>
        <v>0</v>
      </c>
      <c r="K149" s="478">
        <f t="shared" si="61"/>
        <v>0</v>
      </c>
      <c r="L149" s="478">
        <f t="shared" si="61"/>
        <v>0</v>
      </c>
      <c r="M149" s="478">
        <f t="shared" si="61"/>
        <v>0</v>
      </c>
      <c r="N149" s="478">
        <f t="shared" si="61"/>
        <v>0</v>
      </c>
      <c r="O149" s="478">
        <f t="shared" si="61"/>
        <v>0</v>
      </c>
      <c r="P149" s="478">
        <f t="shared" si="61"/>
        <v>0</v>
      </c>
      <c r="Q149" s="478">
        <f t="shared" si="61"/>
        <v>0</v>
      </c>
      <c r="R149" s="478">
        <f t="shared" si="61"/>
        <v>0</v>
      </c>
    </row>
    <row r="150" spans="1:18" ht="19.5">
      <c r="A150" s="511"/>
      <c r="B150" s="511" t="s">
        <v>308</v>
      </c>
      <c r="C150" s="512"/>
      <c r="D150" s="511"/>
      <c r="E150" s="303">
        <f>SUM(E151:E153)</f>
        <v>0</v>
      </c>
      <c r="F150" s="303">
        <f aca="true" t="shared" si="62" ref="F150:O150">SUM(F151:F153)</f>
        <v>0</v>
      </c>
      <c r="G150" s="303">
        <f t="shared" si="62"/>
        <v>0</v>
      </c>
      <c r="H150" s="303">
        <f t="shared" si="62"/>
        <v>0</v>
      </c>
      <c r="I150" s="303">
        <f t="shared" si="62"/>
        <v>0</v>
      </c>
      <c r="J150" s="303">
        <f t="shared" si="62"/>
        <v>0</v>
      </c>
      <c r="K150" s="303">
        <v>0</v>
      </c>
      <c r="L150" s="303">
        <f t="shared" si="62"/>
        <v>0</v>
      </c>
      <c r="M150" s="303">
        <f t="shared" si="62"/>
        <v>0</v>
      </c>
      <c r="N150" s="303">
        <f t="shared" si="62"/>
        <v>0</v>
      </c>
      <c r="O150" s="303">
        <f t="shared" si="62"/>
        <v>0</v>
      </c>
      <c r="P150" s="397">
        <f>SUM(K150+O150)</f>
        <v>0</v>
      </c>
      <c r="Q150" s="397">
        <f>SUM(J150+P150)</f>
        <v>0</v>
      </c>
      <c r="R150" s="397">
        <f>Q150/2</f>
        <v>0</v>
      </c>
    </row>
    <row r="151" spans="1:18" ht="21.75">
      <c r="A151" s="523" t="s">
        <v>320</v>
      </c>
      <c r="B151" s="523"/>
      <c r="C151" s="256"/>
      <c r="D151" s="256"/>
      <c r="E151" s="256"/>
      <c r="F151" s="256"/>
      <c r="G151" s="256"/>
      <c r="H151" s="256"/>
      <c r="I151" s="256"/>
      <c r="J151" s="467"/>
      <c r="K151" s="258"/>
      <c r="L151" s="257"/>
      <c r="M151" s="257"/>
      <c r="N151" s="257"/>
      <c r="O151" s="257"/>
      <c r="P151" s="257"/>
      <c r="Q151" s="257"/>
      <c r="R151" s="257"/>
    </row>
    <row r="152" spans="1:18" ht="21.75">
      <c r="A152" s="524" t="s">
        <v>281</v>
      </c>
      <c r="B152" s="524"/>
      <c r="C152" s="258"/>
      <c r="D152" s="258"/>
      <c r="E152" s="256"/>
      <c r="F152" s="256"/>
      <c r="G152" s="256"/>
      <c r="H152" s="256"/>
      <c r="I152" s="256"/>
      <c r="J152" s="467"/>
      <c r="K152" s="258"/>
      <c r="L152" s="257"/>
      <c r="M152" s="257"/>
      <c r="N152" s="257"/>
      <c r="O152" s="257"/>
      <c r="P152" s="257"/>
      <c r="Q152" s="257"/>
      <c r="R152" s="257"/>
    </row>
    <row r="153" spans="1:18" ht="21.75">
      <c r="A153" s="524" t="s">
        <v>280</v>
      </c>
      <c r="B153" s="524"/>
      <c r="C153" s="257"/>
      <c r="D153" s="257"/>
      <c r="E153" s="257"/>
      <c r="F153" s="257"/>
      <c r="G153" s="257"/>
      <c r="H153" s="257"/>
      <c r="I153" s="257"/>
      <c r="J153" s="258"/>
      <c r="K153" s="258"/>
      <c r="L153" s="257"/>
      <c r="M153" s="257"/>
      <c r="N153" s="257"/>
      <c r="O153" s="257"/>
      <c r="P153" s="257"/>
      <c r="Q153" s="257"/>
      <c r="R153" s="257"/>
    </row>
    <row r="154" spans="1:18" ht="21.75">
      <c r="A154" s="525" t="s">
        <v>292</v>
      </c>
      <c r="B154" s="526"/>
      <c r="C154" s="406"/>
      <c r="D154" s="406"/>
      <c r="E154" s="406"/>
      <c r="F154" s="406"/>
      <c r="G154" s="406"/>
      <c r="H154" s="406"/>
      <c r="I154" s="406"/>
      <c r="J154" s="469"/>
      <c r="K154" s="469"/>
      <c r="L154" s="406"/>
      <c r="M154" s="406"/>
      <c r="N154" s="406"/>
      <c r="O154" s="406"/>
      <c r="P154" s="406"/>
      <c r="Q154" s="406"/>
      <c r="R154" s="406"/>
    </row>
    <row r="155" spans="1:18" ht="21.75">
      <c r="A155" s="406"/>
      <c r="B155" s="406"/>
      <c r="C155" s="406"/>
      <c r="D155" s="406"/>
      <c r="E155" s="406"/>
      <c r="F155" s="406"/>
      <c r="G155" s="406"/>
      <c r="H155" s="406"/>
      <c r="I155" s="406"/>
      <c r="J155" s="469"/>
      <c r="K155" s="469"/>
      <c r="L155" s="406"/>
      <c r="M155" s="406"/>
      <c r="N155" s="406"/>
      <c r="O155" s="406"/>
      <c r="P155" s="406"/>
      <c r="Q155" s="406"/>
      <c r="R155" s="406"/>
    </row>
    <row r="156" spans="1:18" ht="21.75">
      <c r="A156" s="406"/>
      <c r="B156" s="406"/>
      <c r="C156" s="406"/>
      <c r="D156" s="406"/>
      <c r="E156" s="406"/>
      <c r="F156" s="406"/>
      <c r="G156" s="406"/>
      <c r="H156" s="406"/>
      <c r="I156" s="406"/>
      <c r="J156" s="469"/>
      <c r="K156" s="469"/>
      <c r="L156" s="406"/>
      <c r="M156" s="406"/>
      <c r="N156" s="406"/>
      <c r="O156" s="406"/>
      <c r="P156" s="406"/>
      <c r="Q156" s="406"/>
      <c r="R156" s="406"/>
    </row>
    <row r="157" spans="1:18" ht="21.75">
      <c r="A157" s="406"/>
      <c r="B157" s="406"/>
      <c r="C157" s="406"/>
      <c r="D157" s="406"/>
      <c r="E157" s="406"/>
      <c r="F157" s="406"/>
      <c r="G157" s="406"/>
      <c r="H157" s="406"/>
      <c r="I157" s="406"/>
      <c r="J157" s="469"/>
      <c r="K157" s="469"/>
      <c r="L157" s="406"/>
      <c r="M157" s="406"/>
      <c r="N157" s="406"/>
      <c r="O157" s="406"/>
      <c r="P157" s="406"/>
      <c r="Q157" s="406"/>
      <c r="R157" s="406"/>
    </row>
    <row r="158" spans="1:18" ht="21.75">
      <c r="A158" s="406"/>
      <c r="B158" s="406"/>
      <c r="C158" s="406"/>
      <c r="D158" s="406"/>
      <c r="E158" s="406"/>
      <c r="F158" s="406"/>
      <c r="G158" s="406"/>
      <c r="H158" s="406"/>
      <c r="I158" s="406"/>
      <c r="J158" s="469"/>
      <c r="K158" s="469"/>
      <c r="L158" s="406"/>
      <c r="M158" s="406"/>
      <c r="N158" s="406"/>
      <c r="O158" s="406"/>
      <c r="P158" s="406"/>
      <c r="Q158" s="406"/>
      <c r="R158" s="406"/>
    </row>
    <row r="159" spans="1:18" ht="21.75">
      <c r="A159" s="406"/>
      <c r="B159" s="406"/>
      <c r="C159" s="406"/>
      <c r="D159" s="406"/>
      <c r="E159" s="406"/>
      <c r="F159" s="406"/>
      <c r="G159" s="406"/>
      <c r="H159" s="406"/>
      <c r="I159" s="406"/>
      <c r="J159" s="469"/>
      <c r="K159" s="469"/>
      <c r="L159" s="406"/>
      <c r="M159" s="406"/>
      <c r="N159" s="406"/>
      <c r="O159" s="406"/>
      <c r="P159" s="406"/>
      <c r="Q159" s="406"/>
      <c r="R159" s="406"/>
    </row>
    <row r="160" spans="1:18" ht="21.75">
      <c r="A160" s="406"/>
      <c r="B160" s="406"/>
      <c r="C160" s="406"/>
      <c r="D160" s="406"/>
      <c r="E160" s="406"/>
      <c r="F160" s="406"/>
      <c r="G160" s="406"/>
      <c r="H160" s="406"/>
      <c r="I160" s="406"/>
      <c r="J160" s="469"/>
      <c r="K160" s="469"/>
      <c r="L160" s="406"/>
      <c r="M160" s="406"/>
      <c r="N160" s="406"/>
      <c r="O160" s="406"/>
      <c r="P160" s="406"/>
      <c r="Q160" s="406"/>
      <c r="R160" s="406"/>
    </row>
    <row r="161" spans="1:18" ht="21.75">
      <c r="A161" s="406"/>
      <c r="B161" s="406"/>
      <c r="C161" s="406"/>
      <c r="D161" s="406"/>
      <c r="E161" s="406"/>
      <c r="F161" s="406"/>
      <c r="G161" s="406"/>
      <c r="H161" s="406"/>
      <c r="I161" s="406"/>
      <c r="J161" s="469"/>
      <c r="K161" s="469"/>
      <c r="L161" s="406"/>
      <c r="M161" s="406"/>
      <c r="N161" s="406"/>
      <c r="O161" s="406"/>
      <c r="P161" s="406"/>
      <c r="Q161" s="406"/>
      <c r="R161" s="406"/>
    </row>
    <row r="162" spans="1:18" ht="21.75">
      <c r="A162" s="406"/>
      <c r="B162" s="406"/>
      <c r="C162" s="406"/>
      <c r="D162" s="406"/>
      <c r="E162" s="406"/>
      <c r="F162" s="406"/>
      <c r="G162" s="406"/>
      <c r="H162" s="406"/>
      <c r="I162" s="406"/>
      <c r="J162" s="469"/>
      <c r="K162" s="469"/>
      <c r="L162" s="406"/>
      <c r="M162" s="406"/>
      <c r="N162" s="406"/>
      <c r="O162" s="406"/>
      <c r="P162" s="406"/>
      <c r="Q162" s="406"/>
      <c r="R162" s="406"/>
    </row>
    <row r="163" spans="1:18" ht="21.75">
      <c r="A163" s="406"/>
      <c r="B163" s="406"/>
      <c r="C163" s="406"/>
      <c r="D163" s="406"/>
      <c r="E163" s="406"/>
      <c r="F163" s="406"/>
      <c r="G163" s="406"/>
      <c r="H163" s="406"/>
      <c r="I163" s="406"/>
      <c r="J163" s="469"/>
      <c r="K163" s="469"/>
      <c r="L163" s="406"/>
      <c r="M163" s="406"/>
      <c r="N163" s="406"/>
      <c r="O163" s="406"/>
      <c r="P163" s="406"/>
      <c r="Q163" s="406"/>
      <c r="R163" s="406"/>
    </row>
    <row r="164" spans="1:18" ht="21.75">
      <c r="A164" s="406"/>
      <c r="B164" s="406"/>
      <c r="C164" s="406"/>
      <c r="D164" s="406"/>
      <c r="E164" s="406"/>
      <c r="F164" s="406"/>
      <c r="G164" s="406"/>
      <c r="H164" s="406"/>
      <c r="I164" s="406"/>
      <c r="J164" s="469"/>
      <c r="K164" s="469"/>
      <c r="L164" s="406"/>
      <c r="M164" s="406"/>
      <c r="N164" s="406"/>
      <c r="O164" s="406"/>
      <c r="P164" s="406"/>
      <c r="Q164" s="406"/>
      <c r="R164" s="406"/>
    </row>
    <row r="165" spans="1:18" ht="21.75">
      <c r="A165" s="406"/>
      <c r="B165" s="406"/>
      <c r="C165" s="406"/>
      <c r="D165" s="406"/>
      <c r="E165" s="406"/>
      <c r="F165" s="406"/>
      <c r="G165" s="406"/>
      <c r="H165" s="406"/>
      <c r="I165" s="406"/>
      <c r="J165" s="469"/>
      <c r="K165" s="469"/>
      <c r="L165" s="406"/>
      <c r="M165" s="406"/>
      <c r="N165" s="406"/>
      <c r="O165" s="406"/>
      <c r="P165" s="406"/>
      <c r="Q165" s="406"/>
      <c r="R165" s="406"/>
    </row>
    <row r="166" spans="1:18" ht="21.75">
      <c r="A166" s="406"/>
      <c r="B166" s="406"/>
      <c r="C166" s="406"/>
      <c r="D166" s="406"/>
      <c r="E166" s="406"/>
      <c r="F166" s="406"/>
      <c r="G166" s="406"/>
      <c r="H166" s="406"/>
      <c r="I166" s="406"/>
      <c r="J166" s="469"/>
      <c r="K166" s="469"/>
      <c r="L166" s="406"/>
      <c r="M166" s="406"/>
      <c r="N166" s="406"/>
      <c r="O166" s="406"/>
      <c r="P166" s="406"/>
      <c r="Q166" s="406"/>
      <c r="R166" s="406"/>
    </row>
  </sheetData>
  <sheetProtection/>
  <mergeCells count="6">
    <mergeCell ref="A1:R1"/>
    <mergeCell ref="A2:D4"/>
    <mergeCell ref="E2:J2"/>
    <mergeCell ref="K2:P2"/>
    <mergeCell ref="E3:I3"/>
    <mergeCell ref="K3:O3"/>
  </mergeCells>
  <printOptions horizontalCentered="1" verticalCentered="1"/>
  <pageMargins left="0.118110236220472" right="0.118110236220472" top="0.748031496062992" bottom="0.748031496062992" header="0.31496062992126" footer="0.31496062992126"/>
  <pageSetup horizontalDpi="600" verticalDpi="600" orientation="landscape" paperSize="9" scale="95" r:id="rId1"/>
  <headerFooter alignWithMargins="0">
    <oddFooter>&amp;L&amp;10กลุ่มภารกิจยุทธสาสตร์และแผนงาน&amp;C&amp;10 ข้อมูล ณ วันที  23 พฤศจิกายน  2553&amp;R&amp;10FTES  1 และ  2 - 53  หน้า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R154"/>
  <sheetViews>
    <sheetView tabSelected="1" zoomScale="120" zoomScaleNormal="120" zoomScaleSheetLayoutView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46" sqref="D146"/>
    </sheetView>
  </sheetViews>
  <sheetFormatPr defaultColWidth="9.140625" defaultRowHeight="21.75"/>
  <cols>
    <col min="1" max="1" width="1.8515625" style="243" customWidth="1"/>
    <col min="2" max="3" width="2.28125" style="243" customWidth="1"/>
    <col min="4" max="4" width="32.7109375" style="243" customWidth="1"/>
    <col min="5" max="5" width="9.7109375" style="243" bestFit="1" customWidth="1"/>
    <col min="6" max="9" width="7.8515625" style="243" customWidth="1"/>
    <col min="10" max="10" width="9.7109375" style="243" bestFit="1" customWidth="1"/>
    <col min="11" max="11" width="10.8515625" style="243" customWidth="1"/>
    <col min="12" max="15" width="7.8515625" style="243" customWidth="1"/>
    <col min="16" max="16" width="11.140625" style="243" customWidth="1"/>
    <col min="17" max="17" width="9.7109375" style="243" bestFit="1" customWidth="1"/>
    <col min="18" max="18" width="10.421875" style="243" customWidth="1"/>
    <col min="19" max="16384" width="9.140625" style="243" customWidth="1"/>
  </cols>
  <sheetData>
    <row r="1" spans="1:18" ht="21.75" customHeight="1">
      <c r="A1" s="527" t="s">
        <v>290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</row>
    <row r="2" spans="1:18" ht="18.75">
      <c r="A2" s="528" t="s">
        <v>4</v>
      </c>
      <c r="B2" s="540"/>
      <c r="C2" s="540"/>
      <c r="D2" s="541"/>
      <c r="E2" s="537" t="s">
        <v>2</v>
      </c>
      <c r="F2" s="537"/>
      <c r="G2" s="537"/>
      <c r="H2" s="537"/>
      <c r="I2" s="537"/>
      <c r="J2" s="538"/>
      <c r="K2" s="537" t="s">
        <v>115</v>
      </c>
      <c r="L2" s="537"/>
      <c r="M2" s="537"/>
      <c r="N2" s="537"/>
      <c r="O2" s="537"/>
      <c r="P2" s="538"/>
      <c r="Q2" s="244" t="s">
        <v>3</v>
      </c>
      <c r="R2" s="245"/>
    </row>
    <row r="3" spans="1:18" ht="18.75">
      <c r="A3" s="542"/>
      <c r="B3" s="543"/>
      <c r="C3" s="543"/>
      <c r="D3" s="544"/>
      <c r="E3" s="537" t="s">
        <v>5</v>
      </c>
      <c r="F3" s="537"/>
      <c r="G3" s="537"/>
      <c r="H3" s="537"/>
      <c r="I3" s="538"/>
      <c r="J3" s="246" t="s">
        <v>3</v>
      </c>
      <c r="K3" s="539" t="s">
        <v>5</v>
      </c>
      <c r="L3" s="537"/>
      <c r="M3" s="537"/>
      <c r="N3" s="537"/>
      <c r="O3" s="538"/>
      <c r="P3" s="246" t="s">
        <v>3</v>
      </c>
      <c r="Q3" s="247" t="s">
        <v>6</v>
      </c>
      <c r="R3" s="247" t="s">
        <v>7</v>
      </c>
    </row>
    <row r="4" spans="1:18" ht="18.75">
      <c r="A4" s="545"/>
      <c r="B4" s="546"/>
      <c r="C4" s="546"/>
      <c r="D4" s="547"/>
      <c r="E4" s="270" t="s">
        <v>8</v>
      </c>
      <c r="F4" s="248" t="s">
        <v>9</v>
      </c>
      <c r="G4" s="248" t="s">
        <v>10</v>
      </c>
      <c r="H4" s="248" t="s">
        <v>11</v>
      </c>
      <c r="I4" s="248" t="s">
        <v>12</v>
      </c>
      <c r="J4" s="248" t="s">
        <v>13</v>
      </c>
      <c r="K4" s="248" t="s">
        <v>8</v>
      </c>
      <c r="L4" s="248" t="s">
        <v>9</v>
      </c>
      <c r="M4" s="248" t="s">
        <v>10</v>
      </c>
      <c r="N4" s="248" t="s">
        <v>11</v>
      </c>
      <c r="O4" s="248" t="s">
        <v>12</v>
      </c>
      <c r="P4" s="248" t="s">
        <v>13</v>
      </c>
      <c r="Q4" s="249"/>
      <c r="R4" s="250"/>
    </row>
    <row r="5" spans="1:18" ht="19.5">
      <c r="A5" s="407" t="s">
        <v>14</v>
      </c>
      <c r="B5" s="408"/>
      <c r="C5" s="408"/>
      <c r="D5" s="409"/>
      <c r="E5" s="410">
        <f>E6+E16+E60+E62+E68+E102+E126+E132</f>
        <v>11160.349999999999</v>
      </c>
      <c r="F5" s="410">
        <f aca="true" t="shared" si="0" ref="F5:R5">F6+F16+F60+F62+F68+F102+F126+F132</f>
        <v>79.25</v>
      </c>
      <c r="G5" s="410">
        <f t="shared" si="0"/>
        <v>104.23</v>
      </c>
      <c r="H5" s="410">
        <f t="shared" si="0"/>
        <v>2.5</v>
      </c>
      <c r="I5" s="410">
        <f t="shared" si="0"/>
        <v>297.3</v>
      </c>
      <c r="J5" s="410">
        <f t="shared" si="0"/>
        <v>11457.649999999998</v>
      </c>
      <c r="K5" s="410">
        <f t="shared" si="0"/>
        <v>11703.699999999999</v>
      </c>
      <c r="L5" s="410">
        <f t="shared" si="0"/>
        <v>31</v>
      </c>
      <c r="M5" s="410">
        <f t="shared" si="0"/>
        <v>479.59</v>
      </c>
      <c r="N5" s="410">
        <f t="shared" si="0"/>
        <v>9.25</v>
      </c>
      <c r="O5" s="410">
        <f t="shared" si="0"/>
        <v>793.68</v>
      </c>
      <c r="P5" s="410">
        <f t="shared" si="0"/>
        <v>12497.38</v>
      </c>
      <c r="Q5" s="410">
        <f t="shared" si="0"/>
        <v>23955.030000000002</v>
      </c>
      <c r="R5" s="410">
        <f t="shared" si="0"/>
        <v>11982.390000000001</v>
      </c>
    </row>
    <row r="6" spans="1:18" ht="19.5">
      <c r="A6" s="279" t="s">
        <v>266</v>
      </c>
      <c r="B6" s="279"/>
      <c r="C6" s="279"/>
      <c r="D6" s="280"/>
      <c r="E6" s="286">
        <f>SUM(E7+E8+E9)</f>
        <v>1766.54</v>
      </c>
      <c r="F6" s="286">
        <f aca="true" t="shared" si="1" ref="F6:R6">SUM(F7+F8+F9)</f>
        <v>0</v>
      </c>
      <c r="G6" s="286">
        <f t="shared" si="1"/>
        <v>0</v>
      </c>
      <c r="H6" s="286">
        <f t="shared" si="1"/>
        <v>0</v>
      </c>
      <c r="I6" s="286">
        <f t="shared" si="1"/>
        <v>0</v>
      </c>
      <c r="J6" s="286">
        <f t="shared" si="1"/>
        <v>1766.54</v>
      </c>
      <c r="K6" s="286">
        <f t="shared" si="1"/>
        <v>2202.8</v>
      </c>
      <c r="L6" s="286">
        <f t="shared" si="1"/>
        <v>0</v>
      </c>
      <c r="M6" s="286">
        <f t="shared" si="1"/>
        <v>23.25</v>
      </c>
      <c r="N6" s="286">
        <f t="shared" si="1"/>
        <v>0</v>
      </c>
      <c r="O6" s="286">
        <f t="shared" si="1"/>
        <v>34.875</v>
      </c>
      <c r="P6" s="286">
        <f t="shared" si="1"/>
        <v>2237.675</v>
      </c>
      <c r="Q6" s="286">
        <f t="shared" si="1"/>
        <v>4004.215</v>
      </c>
      <c r="R6" s="286">
        <f t="shared" si="1"/>
        <v>2002.1075</v>
      </c>
    </row>
    <row r="7" spans="1:18" ht="19.5">
      <c r="A7" s="281"/>
      <c r="B7" s="266" t="s">
        <v>205</v>
      </c>
      <c r="C7" s="266"/>
      <c r="D7" s="272"/>
      <c r="E7" s="287">
        <v>351.21</v>
      </c>
      <c r="F7" s="287">
        <v>0</v>
      </c>
      <c r="G7" s="287">
        <v>0</v>
      </c>
      <c r="H7" s="287">
        <v>0</v>
      </c>
      <c r="I7" s="288">
        <f>SUM(F7:H7)*1.5</f>
        <v>0</v>
      </c>
      <c r="J7" s="288">
        <f>SUM(E7+I7)</f>
        <v>351.21</v>
      </c>
      <c r="K7" s="287">
        <v>427.66</v>
      </c>
      <c r="L7" s="287">
        <v>0</v>
      </c>
      <c r="M7" s="287">
        <v>0</v>
      </c>
      <c r="N7" s="287">
        <v>0</v>
      </c>
      <c r="O7" s="288">
        <f>SUM(L7:N7)*1.5</f>
        <v>0</v>
      </c>
      <c r="P7" s="288">
        <f>K7+O7</f>
        <v>427.66</v>
      </c>
      <c r="Q7" s="288">
        <f>J7+P7</f>
        <v>778.87</v>
      </c>
      <c r="R7" s="288">
        <f>Q7/2</f>
        <v>389.435</v>
      </c>
    </row>
    <row r="8" spans="1:18" ht="19.5">
      <c r="A8" s="281"/>
      <c r="B8" s="266" t="s">
        <v>206</v>
      </c>
      <c r="C8" s="266"/>
      <c r="D8" s="272"/>
      <c r="E8" s="287">
        <v>425.64</v>
      </c>
      <c r="F8" s="287">
        <v>0</v>
      </c>
      <c r="G8" s="287">
        <v>0</v>
      </c>
      <c r="H8" s="287">
        <v>0</v>
      </c>
      <c r="I8" s="288">
        <f>SUM(F8:H8)*1.5</f>
        <v>0</v>
      </c>
      <c r="J8" s="288">
        <f>SUM(E8+I8)</f>
        <v>425.64</v>
      </c>
      <c r="K8" s="287">
        <v>504.98</v>
      </c>
      <c r="L8" s="287">
        <v>0</v>
      </c>
      <c r="M8" s="287">
        <v>0</v>
      </c>
      <c r="N8" s="287">
        <v>0</v>
      </c>
      <c r="O8" s="288">
        <f>SUM(L8:N8)*1.5</f>
        <v>0</v>
      </c>
      <c r="P8" s="288">
        <f>K8+O8</f>
        <v>504.98</v>
      </c>
      <c r="Q8" s="288">
        <f>J8+P8</f>
        <v>930.62</v>
      </c>
      <c r="R8" s="288">
        <f>Q8/2</f>
        <v>465.31</v>
      </c>
    </row>
    <row r="9" spans="1:18" ht="19.5">
      <c r="A9" s="281"/>
      <c r="B9" s="266" t="s">
        <v>207</v>
      </c>
      <c r="C9" s="266"/>
      <c r="D9" s="272"/>
      <c r="E9" s="289">
        <f>SUM(E10:E13)</f>
        <v>989.69</v>
      </c>
      <c r="F9" s="289">
        <f aca="true" t="shared" si="2" ref="F9:R9">SUM(F10:F13)</f>
        <v>0</v>
      </c>
      <c r="G9" s="289">
        <f t="shared" si="2"/>
        <v>0</v>
      </c>
      <c r="H9" s="289">
        <f t="shared" si="2"/>
        <v>0</v>
      </c>
      <c r="I9" s="289">
        <f t="shared" si="2"/>
        <v>0</v>
      </c>
      <c r="J9" s="289">
        <f t="shared" si="2"/>
        <v>989.69</v>
      </c>
      <c r="K9" s="289">
        <f t="shared" si="2"/>
        <v>1270.1599999999999</v>
      </c>
      <c r="L9" s="289">
        <f t="shared" si="2"/>
        <v>0</v>
      </c>
      <c r="M9" s="289">
        <f t="shared" si="2"/>
        <v>23.25</v>
      </c>
      <c r="N9" s="289">
        <f t="shared" si="2"/>
        <v>0</v>
      </c>
      <c r="O9" s="289">
        <f t="shared" si="2"/>
        <v>34.875</v>
      </c>
      <c r="P9" s="289">
        <f t="shared" si="2"/>
        <v>1305.0349999999999</v>
      </c>
      <c r="Q9" s="289">
        <f t="shared" si="2"/>
        <v>2294.725</v>
      </c>
      <c r="R9" s="289">
        <f t="shared" si="2"/>
        <v>1147.3625</v>
      </c>
    </row>
    <row r="10" spans="1:18" ht="19.5">
      <c r="A10" s="281"/>
      <c r="B10" s="267"/>
      <c r="C10" s="267"/>
      <c r="D10" s="273" t="s">
        <v>201</v>
      </c>
      <c r="E10" s="290">
        <v>849.74</v>
      </c>
      <c r="F10" s="287">
        <v>0</v>
      </c>
      <c r="G10" s="287">
        <v>0</v>
      </c>
      <c r="H10" s="287">
        <v>0</v>
      </c>
      <c r="I10" s="288">
        <f>SUM(F10:H10)*1.5</f>
        <v>0</v>
      </c>
      <c r="J10" s="288">
        <f>SUM(E10+I10)</f>
        <v>849.74</v>
      </c>
      <c r="K10" s="287">
        <v>1231.99</v>
      </c>
      <c r="L10" s="287">
        <v>0</v>
      </c>
      <c r="M10" s="287">
        <v>0</v>
      </c>
      <c r="N10" s="287">
        <v>0</v>
      </c>
      <c r="O10" s="288">
        <f>SUM(L10:N10)*1.5</f>
        <v>0</v>
      </c>
      <c r="P10" s="288">
        <f>K10+O10</f>
        <v>1231.99</v>
      </c>
      <c r="Q10" s="288">
        <f>J10+P10</f>
        <v>2081.73</v>
      </c>
      <c r="R10" s="288">
        <f>Q10/2</f>
        <v>1040.865</v>
      </c>
    </row>
    <row r="11" spans="1:18" ht="19.5">
      <c r="A11" s="281"/>
      <c r="B11" s="267"/>
      <c r="C11" s="267"/>
      <c r="D11" s="273" t="s">
        <v>202</v>
      </c>
      <c r="E11" s="289">
        <v>0</v>
      </c>
      <c r="F11" s="287">
        <v>0</v>
      </c>
      <c r="G11" s="287">
        <v>0</v>
      </c>
      <c r="H11" s="287">
        <v>0</v>
      </c>
      <c r="I11" s="288">
        <f>SUM(F11:H11)*1.5</f>
        <v>0</v>
      </c>
      <c r="J11" s="288">
        <f>SUM(E11+I11)</f>
        <v>0</v>
      </c>
      <c r="K11" s="287">
        <v>15.33</v>
      </c>
      <c r="L11" s="287">
        <v>0</v>
      </c>
      <c r="M11" s="287">
        <v>0</v>
      </c>
      <c r="N11" s="287">
        <v>0</v>
      </c>
      <c r="O11" s="288">
        <f>SUM(L11:N11)*1.5</f>
        <v>0</v>
      </c>
      <c r="P11" s="288">
        <f>K11+O11</f>
        <v>15.33</v>
      </c>
      <c r="Q11" s="288">
        <f>J11+P11</f>
        <v>15.33</v>
      </c>
      <c r="R11" s="288">
        <f>Q11/2</f>
        <v>7.665</v>
      </c>
    </row>
    <row r="12" spans="1:18" ht="19.5">
      <c r="A12" s="281"/>
      <c r="B12" s="267"/>
      <c r="C12" s="267"/>
      <c r="D12" s="273" t="s">
        <v>203</v>
      </c>
      <c r="E12" s="290">
        <v>139.95</v>
      </c>
      <c r="F12" s="287">
        <v>0</v>
      </c>
      <c r="G12" s="287">
        <v>0</v>
      </c>
      <c r="H12" s="287">
        <v>0</v>
      </c>
      <c r="I12" s="288">
        <f>SUM(F12:H12)*1.5</f>
        <v>0</v>
      </c>
      <c r="J12" s="288">
        <f>SUM(E12+I12)</f>
        <v>139.95</v>
      </c>
      <c r="K12" s="287">
        <v>0</v>
      </c>
      <c r="L12" s="287">
        <v>0</v>
      </c>
      <c r="M12" s="287">
        <v>0</v>
      </c>
      <c r="N12" s="287">
        <v>0</v>
      </c>
      <c r="O12" s="288">
        <f>SUM(L12:N12)*1.5</f>
        <v>0</v>
      </c>
      <c r="P12" s="288">
        <f>K12+O12</f>
        <v>0</v>
      </c>
      <c r="Q12" s="288">
        <f>J12+P12</f>
        <v>139.95</v>
      </c>
      <c r="R12" s="288">
        <f>Q12/2</f>
        <v>69.975</v>
      </c>
    </row>
    <row r="13" spans="1:18" ht="19.5">
      <c r="A13" s="281"/>
      <c r="B13" s="267"/>
      <c r="C13" s="267"/>
      <c r="D13" s="273" t="s">
        <v>204</v>
      </c>
      <c r="E13" s="289">
        <v>0</v>
      </c>
      <c r="F13" s="287">
        <v>0</v>
      </c>
      <c r="G13" s="287">
        <v>0</v>
      </c>
      <c r="H13" s="287">
        <v>0</v>
      </c>
      <c r="I13" s="288">
        <f>SUM(F13:H13)*1.5</f>
        <v>0</v>
      </c>
      <c r="J13" s="288">
        <f>SUM(E13+I13)</f>
        <v>0</v>
      </c>
      <c r="K13" s="287">
        <v>22.84</v>
      </c>
      <c r="L13" s="287">
        <v>0</v>
      </c>
      <c r="M13" s="287">
        <v>23.25</v>
      </c>
      <c r="N13" s="287">
        <v>0</v>
      </c>
      <c r="O13" s="288">
        <f>SUM(L13:N13)*1.5</f>
        <v>34.875</v>
      </c>
      <c r="P13" s="288">
        <f>K13+O13</f>
        <v>57.715</v>
      </c>
      <c r="Q13" s="288">
        <f>J13+P13</f>
        <v>57.715</v>
      </c>
      <c r="R13" s="288">
        <f>Q13/2</f>
        <v>28.8575</v>
      </c>
    </row>
    <row r="14" spans="1:18" ht="19.5">
      <c r="A14" s="311"/>
      <c r="B14" s="312"/>
      <c r="C14" s="312"/>
      <c r="D14" s="313" t="s">
        <v>197</v>
      </c>
      <c r="E14" s="314">
        <v>0</v>
      </c>
      <c r="F14" s="315">
        <v>0</v>
      </c>
      <c r="G14" s="315">
        <v>0</v>
      </c>
      <c r="H14" s="315">
        <v>0</v>
      </c>
      <c r="I14" s="316">
        <f>SUM(F14:H14)*1.5</f>
        <v>0</v>
      </c>
      <c r="J14" s="316">
        <f>SUM(E14+I14)</f>
        <v>0</v>
      </c>
      <c r="K14" s="317">
        <v>0</v>
      </c>
      <c r="L14" s="315">
        <v>0</v>
      </c>
      <c r="M14" s="315">
        <v>0</v>
      </c>
      <c r="N14" s="315">
        <v>0</v>
      </c>
      <c r="O14" s="316">
        <f>SUM(L14:N14)*1.5</f>
        <v>0</v>
      </c>
      <c r="P14" s="316">
        <f>K14+O14</f>
        <v>0</v>
      </c>
      <c r="Q14" s="316">
        <f>J14+P14</f>
        <v>0</v>
      </c>
      <c r="R14" s="316">
        <f>Q14/2</f>
        <v>0</v>
      </c>
    </row>
    <row r="15" spans="1:18" ht="19.5" hidden="1">
      <c r="A15" s="267" t="s">
        <v>24</v>
      </c>
      <c r="B15" s="267"/>
      <c r="C15" s="267"/>
      <c r="D15" s="273"/>
      <c r="E15" s="289"/>
      <c r="F15" s="287"/>
      <c r="G15" s="287"/>
      <c r="H15" s="287"/>
      <c r="I15" s="288"/>
      <c r="J15" s="288"/>
      <c r="K15" s="291"/>
      <c r="L15" s="287"/>
      <c r="M15" s="287"/>
      <c r="N15" s="287"/>
      <c r="O15" s="288"/>
      <c r="P15" s="288"/>
      <c r="Q15" s="288"/>
      <c r="R15" s="288"/>
    </row>
    <row r="16" spans="1:18" ht="19.5">
      <c r="A16" s="279" t="s">
        <v>267</v>
      </c>
      <c r="B16" s="279"/>
      <c r="C16" s="279"/>
      <c r="D16" s="280"/>
      <c r="E16" s="286">
        <f>SUM(E17+E45+E55)</f>
        <v>1708.69</v>
      </c>
      <c r="F16" s="286">
        <f aca="true" t="shared" si="3" ref="F16:R16">SUM(F17+F45+F55)</f>
        <v>79.25</v>
      </c>
      <c r="G16" s="286">
        <f t="shared" si="3"/>
        <v>73.75</v>
      </c>
      <c r="H16" s="286">
        <f t="shared" si="3"/>
        <v>0</v>
      </c>
      <c r="I16" s="286">
        <f t="shared" si="3"/>
        <v>229.5</v>
      </c>
      <c r="J16" s="286">
        <f t="shared" si="3"/>
        <v>1938.19</v>
      </c>
      <c r="K16" s="286">
        <f t="shared" si="3"/>
        <v>1542.5600000000002</v>
      </c>
      <c r="L16" s="286">
        <f t="shared" si="3"/>
        <v>31</v>
      </c>
      <c r="M16" s="286">
        <f t="shared" si="3"/>
        <v>388.41999999999996</v>
      </c>
      <c r="N16" s="286">
        <f t="shared" si="3"/>
        <v>9</v>
      </c>
      <c r="O16" s="286">
        <f t="shared" si="3"/>
        <v>642.63</v>
      </c>
      <c r="P16" s="286">
        <f t="shared" si="3"/>
        <v>2185.19</v>
      </c>
      <c r="Q16" s="286">
        <f t="shared" si="3"/>
        <v>4123.38</v>
      </c>
      <c r="R16" s="286">
        <f t="shared" si="3"/>
        <v>2061.69</v>
      </c>
    </row>
    <row r="17" spans="1:18" ht="19.5">
      <c r="A17" s="266"/>
      <c r="B17" s="264" t="s">
        <v>167</v>
      </c>
      <c r="C17" s="266"/>
      <c r="D17" s="272"/>
      <c r="E17" s="289">
        <f>SUM(E18+E24+E30+E35+E39+E44)</f>
        <v>1400.6200000000001</v>
      </c>
      <c r="F17" s="289">
        <f aca="true" t="shared" si="4" ref="F17:R17">SUM(F18+F24+F30+F35+F39+F44)</f>
        <v>79.25</v>
      </c>
      <c r="G17" s="289">
        <f t="shared" si="4"/>
        <v>63.75</v>
      </c>
      <c r="H17" s="289">
        <f t="shared" si="4"/>
        <v>0</v>
      </c>
      <c r="I17" s="289">
        <f t="shared" si="4"/>
        <v>214.5</v>
      </c>
      <c r="J17" s="289">
        <f t="shared" si="4"/>
        <v>1615.1200000000001</v>
      </c>
      <c r="K17" s="289">
        <f t="shared" si="4"/>
        <v>1315.3400000000001</v>
      </c>
      <c r="L17" s="289">
        <f t="shared" si="4"/>
        <v>0</v>
      </c>
      <c r="M17" s="289">
        <f t="shared" si="4"/>
        <v>374.91999999999996</v>
      </c>
      <c r="N17" s="289">
        <f t="shared" si="4"/>
        <v>9</v>
      </c>
      <c r="O17" s="289">
        <f t="shared" si="4"/>
        <v>575.88</v>
      </c>
      <c r="P17" s="289">
        <f t="shared" si="4"/>
        <v>1891.2200000000003</v>
      </c>
      <c r="Q17" s="289">
        <f t="shared" si="4"/>
        <v>3506.3399999999997</v>
      </c>
      <c r="R17" s="289">
        <f t="shared" si="4"/>
        <v>1753.1699999999998</v>
      </c>
    </row>
    <row r="18" spans="1:18" ht="19.5">
      <c r="A18" s="281"/>
      <c r="B18" s="268"/>
      <c r="C18" s="266" t="s">
        <v>168</v>
      </c>
      <c r="D18" s="282"/>
      <c r="E18" s="292">
        <f>SUM(E19:E22)</f>
        <v>210.51000000000002</v>
      </c>
      <c r="F18" s="292">
        <f>SUM(F19:F22)</f>
        <v>15.75</v>
      </c>
      <c r="G18" s="292">
        <f>SUM(G19:G22)</f>
        <v>22.25</v>
      </c>
      <c r="H18" s="292">
        <f aca="true" t="shared" si="5" ref="H18:R18">SUM(H19:H22)</f>
        <v>0</v>
      </c>
      <c r="I18" s="292">
        <f>SUM(I19:I22)</f>
        <v>57</v>
      </c>
      <c r="J18" s="292">
        <f>SUM(J19:J22)</f>
        <v>267.51</v>
      </c>
      <c r="K18" s="292">
        <f t="shared" si="5"/>
        <v>129.34</v>
      </c>
      <c r="L18" s="292">
        <f t="shared" si="5"/>
        <v>0</v>
      </c>
      <c r="M18" s="292">
        <f t="shared" si="5"/>
        <v>95</v>
      </c>
      <c r="N18" s="292">
        <f t="shared" si="5"/>
        <v>0</v>
      </c>
      <c r="O18" s="292">
        <f t="shared" si="5"/>
        <v>142.5</v>
      </c>
      <c r="P18" s="292">
        <f t="shared" si="5"/>
        <v>271.84000000000003</v>
      </c>
      <c r="Q18" s="292">
        <f t="shared" si="5"/>
        <v>539.35</v>
      </c>
      <c r="R18" s="292">
        <f t="shared" si="5"/>
        <v>269.675</v>
      </c>
    </row>
    <row r="19" spans="1:18" ht="19.5">
      <c r="A19" s="281"/>
      <c r="B19" s="283"/>
      <c r="C19" s="283"/>
      <c r="D19" s="274" t="s">
        <v>243</v>
      </c>
      <c r="E19" s="290">
        <v>81.18</v>
      </c>
      <c r="F19" s="288">
        <v>0</v>
      </c>
      <c r="G19" s="288">
        <v>0</v>
      </c>
      <c r="H19" s="288">
        <v>0</v>
      </c>
      <c r="I19" s="288">
        <f>SUM(F19:H19)*1.5</f>
        <v>0</v>
      </c>
      <c r="J19" s="288">
        <f>SUM(E19+I19)</f>
        <v>81.18</v>
      </c>
      <c r="K19" s="288">
        <v>54.17</v>
      </c>
      <c r="L19" s="288">
        <v>0</v>
      </c>
      <c r="M19" s="288">
        <v>0</v>
      </c>
      <c r="N19" s="288">
        <v>0</v>
      </c>
      <c r="O19" s="288">
        <f>SUM(L19:N19)*1.5</f>
        <v>0</v>
      </c>
      <c r="P19" s="287">
        <f>K19+O19</f>
        <v>54.17</v>
      </c>
      <c r="Q19" s="288">
        <f>J19+P19</f>
        <v>135.35000000000002</v>
      </c>
      <c r="R19" s="288">
        <f>Q19/2</f>
        <v>67.67500000000001</v>
      </c>
    </row>
    <row r="20" spans="1:18" ht="19.5">
      <c r="A20" s="281"/>
      <c r="B20" s="283"/>
      <c r="C20" s="283"/>
      <c r="D20" s="274" t="s">
        <v>244</v>
      </c>
      <c r="E20" s="292">
        <v>0</v>
      </c>
      <c r="F20" s="288">
        <v>0</v>
      </c>
      <c r="G20" s="290">
        <v>14.5</v>
      </c>
      <c r="H20" s="288">
        <v>0</v>
      </c>
      <c r="I20" s="288">
        <f>SUM(F20:H20)*1.5</f>
        <v>21.75</v>
      </c>
      <c r="J20" s="288">
        <f>SUM(E20+I20)</f>
        <v>21.75</v>
      </c>
      <c r="K20" s="288">
        <v>0</v>
      </c>
      <c r="L20" s="288">
        <v>0</v>
      </c>
      <c r="M20" s="288">
        <v>67</v>
      </c>
      <c r="N20" s="288">
        <v>0</v>
      </c>
      <c r="O20" s="288">
        <f>SUM(L20:N20)*1.5</f>
        <v>100.5</v>
      </c>
      <c r="P20" s="287">
        <f>K20+O20</f>
        <v>100.5</v>
      </c>
      <c r="Q20" s="288">
        <f>J20+P20</f>
        <v>122.25</v>
      </c>
      <c r="R20" s="288">
        <f>Q20/2</f>
        <v>61.125</v>
      </c>
    </row>
    <row r="21" spans="1:18" ht="19.5">
      <c r="A21" s="281"/>
      <c r="B21" s="283"/>
      <c r="C21" s="283"/>
      <c r="D21" s="274" t="s">
        <v>245</v>
      </c>
      <c r="E21" s="292">
        <v>0</v>
      </c>
      <c r="F21" s="288">
        <v>0</v>
      </c>
      <c r="G21" s="290">
        <v>7.75</v>
      </c>
      <c r="H21" s="288">
        <v>0</v>
      </c>
      <c r="I21" s="288">
        <f>SUM(F21:H21)*1.5</f>
        <v>11.625</v>
      </c>
      <c r="J21" s="288">
        <f>SUM(E21+I21)</f>
        <v>11.625</v>
      </c>
      <c r="K21" s="288">
        <v>0</v>
      </c>
      <c r="L21" s="288">
        <v>0</v>
      </c>
      <c r="M21" s="288">
        <f>6.83+21.17</f>
        <v>28</v>
      </c>
      <c r="N21" s="288">
        <v>0</v>
      </c>
      <c r="O21" s="288">
        <f>SUM(L21:N21)*1.5</f>
        <v>42</v>
      </c>
      <c r="P21" s="287">
        <f>K21+O21</f>
        <v>42</v>
      </c>
      <c r="Q21" s="288">
        <f>J21+P21</f>
        <v>53.625</v>
      </c>
      <c r="R21" s="288">
        <f>Q21/2</f>
        <v>26.8125</v>
      </c>
    </row>
    <row r="22" spans="1:18" ht="19.5">
      <c r="A22" s="329"/>
      <c r="B22" s="330"/>
      <c r="C22" s="330"/>
      <c r="D22" s="331" t="s">
        <v>242</v>
      </c>
      <c r="E22" s="332">
        <v>129.33</v>
      </c>
      <c r="F22" s="332">
        <v>15.75</v>
      </c>
      <c r="G22" s="333">
        <v>0</v>
      </c>
      <c r="H22" s="333">
        <v>0</v>
      </c>
      <c r="I22" s="333">
        <f>SUM(F22:H22)*1.5</f>
        <v>23.625</v>
      </c>
      <c r="J22" s="333">
        <f>SUM(E22+I22)</f>
        <v>152.955</v>
      </c>
      <c r="K22" s="333">
        <v>75.17</v>
      </c>
      <c r="L22" s="333">
        <v>0</v>
      </c>
      <c r="M22" s="333">
        <v>0</v>
      </c>
      <c r="N22" s="333">
        <v>0</v>
      </c>
      <c r="O22" s="333">
        <f>SUM(L22:N22)*1.5</f>
        <v>0</v>
      </c>
      <c r="P22" s="332">
        <f>K22+O22</f>
        <v>75.17</v>
      </c>
      <c r="Q22" s="333">
        <f>J22+P22</f>
        <v>228.125</v>
      </c>
      <c r="R22" s="333">
        <f>Q22/2</f>
        <v>114.0625</v>
      </c>
    </row>
    <row r="23" spans="1:18" ht="19.5">
      <c r="A23" s="311"/>
      <c r="B23" s="318"/>
      <c r="C23" s="318"/>
      <c r="D23" s="319" t="s">
        <v>197</v>
      </c>
      <c r="E23" s="320">
        <v>0</v>
      </c>
      <c r="F23" s="316">
        <v>0</v>
      </c>
      <c r="G23" s="316">
        <v>0</v>
      </c>
      <c r="H23" s="316">
        <v>0</v>
      </c>
      <c r="I23" s="316">
        <f>SUM(F23:H23)*1.5</f>
        <v>0</v>
      </c>
      <c r="J23" s="316">
        <f>SUM(E23+I23)</f>
        <v>0</v>
      </c>
      <c r="K23" s="316">
        <v>0</v>
      </c>
      <c r="L23" s="316">
        <v>0</v>
      </c>
      <c r="M23" s="316">
        <v>0</v>
      </c>
      <c r="N23" s="316">
        <v>0</v>
      </c>
      <c r="O23" s="316">
        <f>SUM(L23:N23)*1.5</f>
        <v>0</v>
      </c>
      <c r="P23" s="315">
        <f>K23+O23</f>
        <v>0</v>
      </c>
      <c r="Q23" s="316">
        <f>J23+P23</f>
        <v>0</v>
      </c>
      <c r="R23" s="316">
        <f>Q23/2</f>
        <v>0</v>
      </c>
    </row>
    <row r="24" spans="1:18" ht="19.5">
      <c r="A24" s="281"/>
      <c r="B24" s="268"/>
      <c r="C24" s="266" t="s">
        <v>173</v>
      </c>
      <c r="D24" s="282"/>
      <c r="E24" s="289">
        <f>SUM(E25:E26)+E28</f>
        <v>445.67</v>
      </c>
      <c r="F24" s="289">
        <f aca="true" t="shared" si="6" ref="F24:R24">SUM(F25:F26)+F28</f>
        <v>16.25</v>
      </c>
      <c r="G24" s="289">
        <f t="shared" si="6"/>
        <v>3.25</v>
      </c>
      <c r="H24" s="289">
        <f t="shared" si="6"/>
        <v>0</v>
      </c>
      <c r="I24" s="289">
        <f t="shared" si="6"/>
        <v>29.25</v>
      </c>
      <c r="J24" s="289">
        <f t="shared" si="6"/>
        <v>474.92</v>
      </c>
      <c r="K24" s="289">
        <f t="shared" si="6"/>
        <v>297.56</v>
      </c>
      <c r="L24" s="289">
        <f t="shared" si="6"/>
        <v>0</v>
      </c>
      <c r="M24" s="289">
        <f t="shared" si="6"/>
        <v>30</v>
      </c>
      <c r="N24" s="289">
        <f t="shared" si="6"/>
        <v>0</v>
      </c>
      <c r="O24" s="289">
        <f t="shared" si="6"/>
        <v>45</v>
      </c>
      <c r="P24" s="289">
        <f t="shared" si="6"/>
        <v>342.56</v>
      </c>
      <c r="Q24" s="289">
        <f t="shared" si="6"/>
        <v>817.48</v>
      </c>
      <c r="R24" s="289">
        <f t="shared" si="6"/>
        <v>408.74</v>
      </c>
    </row>
    <row r="25" spans="1:18" ht="19.5">
      <c r="A25" s="281"/>
      <c r="B25" s="283"/>
      <c r="C25" s="266"/>
      <c r="D25" s="274" t="s">
        <v>247</v>
      </c>
      <c r="E25" s="289">
        <v>0</v>
      </c>
      <c r="F25" s="287">
        <v>0</v>
      </c>
      <c r="G25" s="287">
        <v>3</v>
      </c>
      <c r="H25" s="287">
        <v>0</v>
      </c>
      <c r="I25" s="288">
        <f>SUM(F25:H25)*1.5</f>
        <v>4.5</v>
      </c>
      <c r="J25" s="293">
        <f>SUM(E25+I25)</f>
        <v>4.5</v>
      </c>
      <c r="K25" s="287">
        <v>0</v>
      </c>
      <c r="L25" s="287">
        <v>0</v>
      </c>
      <c r="M25" s="287">
        <f>1.75+21.75</f>
        <v>23.5</v>
      </c>
      <c r="N25" s="287">
        <v>0</v>
      </c>
      <c r="O25" s="288">
        <f>SUM(L25:N25)*1.5</f>
        <v>35.25</v>
      </c>
      <c r="P25" s="287">
        <f>K25+O25</f>
        <v>35.25</v>
      </c>
      <c r="Q25" s="293">
        <f>J25+P25</f>
        <v>39.75</v>
      </c>
      <c r="R25" s="293">
        <f>Q25/2</f>
        <v>19.875</v>
      </c>
    </row>
    <row r="26" spans="1:18" ht="19.5">
      <c r="A26" s="329"/>
      <c r="B26" s="330"/>
      <c r="C26" s="334"/>
      <c r="D26" s="331" t="s">
        <v>242</v>
      </c>
      <c r="E26" s="332">
        <v>445.67</v>
      </c>
      <c r="F26" s="332">
        <v>16.25</v>
      </c>
      <c r="G26" s="332">
        <v>0.25</v>
      </c>
      <c r="H26" s="332">
        <v>0</v>
      </c>
      <c r="I26" s="333">
        <f>SUM(F26:H26)*1.5</f>
        <v>24.75</v>
      </c>
      <c r="J26" s="335">
        <f>SUM(E26+I26)</f>
        <v>470.42</v>
      </c>
      <c r="K26" s="332">
        <v>297.56</v>
      </c>
      <c r="L26" s="332">
        <v>0</v>
      </c>
      <c r="M26" s="332">
        <f>0.25+6.25</f>
        <v>6.5</v>
      </c>
      <c r="N26" s="332">
        <v>0</v>
      </c>
      <c r="O26" s="333">
        <f>SUM(L26:N26)*1.5</f>
        <v>9.75</v>
      </c>
      <c r="P26" s="332">
        <f>K26+O26</f>
        <v>307.31</v>
      </c>
      <c r="Q26" s="335">
        <f>J26+P26</f>
        <v>777.73</v>
      </c>
      <c r="R26" s="335">
        <f>Q26/2</f>
        <v>388.865</v>
      </c>
    </row>
    <row r="27" spans="1:18" ht="19.5">
      <c r="A27" s="311"/>
      <c r="B27" s="318"/>
      <c r="C27" s="321"/>
      <c r="D27" s="319" t="s">
        <v>197</v>
      </c>
      <c r="E27" s="314">
        <v>0</v>
      </c>
      <c r="F27" s="315">
        <v>0</v>
      </c>
      <c r="G27" s="315">
        <v>1.5</v>
      </c>
      <c r="H27" s="315">
        <v>0</v>
      </c>
      <c r="I27" s="316">
        <f>SUM(F27:H27)*1.5</f>
        <v>2.25</v>
      </c>
      <c r="J27" s="322">
        <f>SUM(E27+I27)</f>
        <v>2.25</v>
      </c>
      <c r="K27" s="315">
        <v>0</v>
      </c>
      <c r="L27" s="315">
        <v>0</v>
      </c>
      <c r="M27" s="315">
        <f>1.05</f>
        <v>1.05</v>
      </c>
      <c r="N27" s="315">
        <v>0</v>
      </c>
      <c r="O27" s="316">
        <f>SUM(L27:N27)*1.5</f>
        <v>1.5750000000000002</v>
      </c>
      <c r="P27" s="315">
        <f>K27+O27</f>
        <v>1.5750000000000002</v>
      </c>
      <c r="Q27" s="322">
        <f>J27+P27</f>
        <v>3.825</v>
      </c>
      <c r="R27" s="322">
        <f>Q27/2</f>
        <v>1.9125</v>
      </c>
    </row>
    <row r="28" spans="1:18" ht="19.5">
      <c r="A28" s="281"/>
      <c r="B28" s="283"/>
      <c r="C28" s="266"/>
      <c r="D28" s="273" t="s">
        <v>246</v>
      </c>
      <c r="E28" s="289">
        <v>0</v>
      </c>
      <c r="F28" s="287">
        <v>0</v>
      </c>
      <c r="G28" s="287">
        <v>0</v>
      </c>
      <c r="H28" s="287">
        <v>0</v>
      </c>
      <c r="I28" s="288">
        <f>SUM(F28:H28)*1.5</f>
        <v>0</v>
      </c>
      <c r="J28" s="293">
        <f>SUM(E28+I28)</f>
        <v>0</v>
      </c>
      <c r="K28" s="287">
        <v>0</v>
      </c>
      <c r="L28" s="287">
        <v>0</v>
      </c>
      <c r="M28" s="287">
        <v>0</v>
      </c>
      <c r="N28" s="287">
        <v>0</v>
      </c>
      <c r="O28" s="288">
        <f>SUM(L28:N28)*1.5</f>
        <v>0</v>
      </c>
      <c r="P28" s="287">
        <f>K28+O28</f>
        <v>0</v>
      </c>
      <c r="Q28" s="293">
        <f>J28+P28</f>
        <v>0</v>
      </c>
      <c r="R28" s="293">
        <f>Q28/2</f>
        <v>0</v>
      </c>
    </row>
    <row r="29" spans="1:18" ht="19.5">
      <c r="A29" s="285"/>
      <c r="B29" s="425"/>
      <c r="C29" s="426"/>
      <c r="D29" s="276"/>
      <c r="E29" s="427"/>
      <c r="F29" s="427"/>
      <c r="G29" s="427"/>
      <c r="H29" s="427"/>
      <c r="I29" s="428"/>
      <c r="J29" s="429"/>
      <c r="K29" s="427"/>
      <c r="L29" s="427"/>
      <c r="M29" s="427"/>
      <c r="N29" s="427"/>
      <c r="O29" s="428"/>
      <c r="P29" s="427"/>
      <c r="Q29" s="429"/>
      <c r="R29" s="429"/>
    </row>
    <row r="30" spans="1:18" ht="19.5">
      <c r="A30" s="420"/>
      <c r="B30" s="421"/>
      <c r="C30" s="422" t="s">
        <v>169</v>
      </c>
      <c r="D30" s="423"/>
      <c r="E30" s="424">
        <f>SUM(E31:E33)</f>
        <v>270.18</v>
      </c>
      <c r="F30" s="424">
        <f aca="true" t="shared" si="7" ref="F30:R30">SUM(F31:F33)</f>
        <v>15.75</v>
      </c>
      <c r="G30" s="424">
        <f t="shared" si="7"/>
        <v>17.25</v>
      </c>
      <c r="H30" s="424">
        <f t="shared" si="7"/>
        <v>0</v>
      </c>
      <c r="I30" s="424">
        <f t="shared" si="7"/>
        <v>49.5</v>
      </c>
      <c r="J30" s="424">
        <f t="shared" si="7"/>
        <v>319.68</v>
      </c>
      <c r="K30" s="424">
        <f t="shared" si="7"/>
        <v>285.34000000000003</v>
      </c>
      <c r="L30" s="424">
        <f t="shared" si="7"/>
        <v>0</v>
      </c>
      <c r="M30" s="424">
        <f t="shared" si="7"/>
        <v>10.17</v>
      </c>
      <c r="N30" s="424">
        <f t="shared" si="7"/>
        <v>0</v>
      </c>
      <c r="O30" s="424">
        <f t="shared" si="7"/>
        <v>15.254999999999999</v>
      </c>
      <c r="P30" s="424">
        <f t="shared" si="7"/>
        <v>300.595</v>
      </c>
      <c r="Q30" s="424">
        <f t="shared" si="7"/>
        <v>620.2750000000001</v>
      </c>
      <c r="R30" s="424">
        <f t="shared" si="7"/>
        <v>310.13750000000005</v>
      </c>
    </row>
    <row r="31" spans="1:18" ht="19.5">
      <c r="A31" s="281"/>
      <c r="B31" s="283"/>
      <c r="C31" s="266"/>
      <c r="D31" s="274" t="s">
        <v>248</v>
      </c>
      <c r="E31" s="290">
        <v>159.68</v>
      </c>
      <c r="F31" s="290">
        <v>0</v>
      </c>
      <c r="G31" s="290">
        <v>4.5</v>
      </c>
      <c r="H31" s="287">
        <v>0</v>
      </c>
      <c r="I31" s="288">
        <f>SUM(F31:H31)*1.5</f>
        <v>6.75</v>
      </c>
      <c r="J31" s="293">
        <f>SUM(E31+I31)</f>
        <v>166.43</v>
      </c>
      <c r="K31" s="287">
        <v>130.5</v>
      </c>
      <c r="L31" s="287">
        <v>0</v>
      </c>
      <c r="M31" s="287">
        <v>0</v>
      </c>
      <c r="N31" s="287">
        <v>0</v>
      </c>
      <c r="O31" s="288">
        <f>SUM(L31:N31)*1.5</f>
        <v>0</v>
      </c>
      <c r="P31" s="287">
        <f>K31+O31</f>
        <v>130.5</v>
      </c>
      <c r="Q31" s="293">
        <f>J31+P31</f>
        <v>296.93</v>
      </c>
      <c r="R31" s="293">
        <f>Q31/2</f>
        <v>148.465</v>
      </c>
    </row>
    <row r="32" spans="1:18" ht="19.5">
      <c r="A32" s="281"/>
      <c r="B32" s="283"/>
      <c r="C32" s="266"/>
      <c r="D32" s="274" t="s">
        <v>249</v>
      </c>
      <c r="E32" s="289">
        <v>0</v>
      </c>
      <c r="F32" s="287">
        <v>0</v>
      </c>
      <c r="G32" s="294">
        <v>12.75</v>
      </c>
      <c r="H32" s="287">
        <v>0</v>
      </c>
      <c r="I32" s="288">
        <f>SUM(F32:H32)*1.5</f>
        <v>19.125</v>
      </c>
      <c r="J32" s="293">
        <f>SUM(E32+I32)</f>
        <v>19.125</v>
      </c>
      <c r="K32" s="287">
        <v>0</v>
      </c>
      <c r="L32" s="287">
        <v>0</v>
      </c>
      <c r="M32" s="287">
        <v>5</v>
      </c>
      <c r="N32" s="287">
        <v>0</v>
      </c>
      <c r="O32" s="288">
        <f>SUM(L32:N32)*1.5</f>
        <v>7.5</v>
      </c>
      <c r="P32" s="287">
        <f>K32+O32</f>
        <v>7.5</v>
      </c>
      <c r="Q32" s="293">
        <f>J32+P32</f>
        <v>26.625</v>
      </c>
      <c r="R32" s="293">
        <f>Q32/2</f>
        <v>13.3125</v>
      </c>
    </row>
    <row r="33" spans="1:18" ht="19.5">
      <c r="A33" s="329"/>
      <c r="B33" s="330"/>
      <c r="C33" s="334"/>
      <c r="D33" s="331" t="s">
        <v>242</v>
      </c>
      <c r="E33" s="336">
        <v>110.5</v>
      </c>
      <c r="F33" s="336">
        <v>15.75</v>
      </c>
      <c r="G33" s="332">
        <v>0</v>
      </c>
      <c r="H33" s="332">
        <v>0</v>
      </c>
      <c r="I33" s="333">
        <f>SUM(F33:H33)*1.5</f>
        <v>23.625</v>
      </c>
      <c r="J33" s="335">
        <f>SUM(E33+I33)</f>
        <v>134.125</v>
      </c>
      <c r="K33" s="332">
        <v>154.84</v>
      </c>
      <c r="L33" s="332">
        <v>0</v>
      </c>
      <c r="M33" s="332">
        <v>5.17</v>
      </c>
      <c r="N33" s="332">
        <v>0</v>
      </c>
      <c r="O33" s="333">
        <f>SUM(L33:N33)*1.5</f>
        <v>7.755</v>
      </c>
      <c r="P33" s="332">
        <f>K33+O33</f>
        <v>162.595</v>
      </c>
      <c r="Q33" s="335">
        <f>J33+P33</f>
        <v>296.72</v>
      </c>
      <c r="R33" s="335">
        <f>Q33/2</f>
        <v>148.36</v>
      </c>
    </row>
    <row r="34" spans="1:18" ht="19.5">
      <c r="A34" s="311"/>
      <c r="B34" s="318"/>
      <c r="C34" s="321"/>
      <c r="D34" s="319" t="s">
        <v>197</v>
      </c>
      <c r="E34" s="314">
        <v>0</v>
      </c>
      <c r="F34" s="315">
        <v>0</v>
      </c>
      <c r="G34" s="315">
        <v>0</v>
      </c>
      <c r="H34" s="315">
        <v>0</v>
      </c>
      <c r="I34" s="316">
        <f>SUM(F34:H34)*1.5</f>
        <v>0</v>
      </c>
      <c r="J34" s="322">
        <f>SUM(E34+I34)</f>
        <v>0</v>
      </c>
      <c r="K34" s="315">
        <v>0</v>
      </c>
      <c r="L34" s="315">
        <v>0</v>
      </c>
      <c r="M34" s="315">
        <v>4</v>
      </c>
      <c r="N34" s="315">
        <v>0</v>
      </c>
      <c r="O34" s="316">
        <f>SUM(L34:N34)*1.5</f>
        <v>6</v>
      </c>
      <c r="P34" s="315">
        <f>K34+O34</f>
        <v>6</v>
      </c>
      <c r="Q34" s="322">
        <f>J34+P34</f>
        <v>6</v>
      </c>
      <c r="R34" s="322">
        <f>Q34/2</f>
        <v>3</v>
      </c>
    </row>
    <row r="35" spans="1:18" ht="19.5">
      <c r="A35" s="281"/>
      <c r="B35" s="268"/>
      <c r="C35" s="266" t="s">
        <v>170</v>
      </c>
      <c r="D35" s="282"/>
      <c r="E35" s="289">
        <f>SUM(E36:E37)</f>
        <v>141.01</v>
      </c>
      <c r="F35" s="289">
        <f aca="true" t="shared" si="8" ref="F35:R35">SUM(F36:F37)</f>
        <v>15.75</v>
      </c>
      <c r="G35" s="289">
        <f t="shared" si="8"/>
        <v>6.5</v>
      </c>
      <c r="H35" s="289">
        <f t="shared" si="8"/>
        <v>0</v>
      </c>
      <c r="I35" s="289">
        <f t="shared" si="8"/>
        <v>33.375</v>
      </c>
      <c r="J35" s="289">
        <f t="shared" si="8"/>
        <v>174.385</v>
      </c>
      <c r="K35" s="289">
        <f t="shared" si="8"/>
        <v>283.45</v>
      </c>
      <c r="L35" s="289">
        <f t="shared" si="8"/>
        <v>0</v>
      </c>
      <c r="M35" s="289">
        <f t="shared" si="8"/>
        <v>193.75</v>
      </c>
      <c r="N35" s="289">
        <f t="shared" si="8"/>
        <v>9</v>
      </c>
      <c r="O35" s="289">
        <f t="shared" si="8"/>
        <v>304.125</v>
      </c>
      <c r="P35" s="289">
        <f t="shared" si="8"/>
        <v>587.5749999999999</v>
      </c>
      <c r="Q35" s="289">
        <f t="shared" si="8"/>
        <v>761.9599999999999</v>
      </c>
      <c r="R35" s="289">
        <f t="shared" si="8"/>
        <v>380.97999999999996</v>
      </c>
    </row>
    <row r="36" spans="1:18" ht="19.5">
      <c r="A36" s="281"/>
      <c r="B36" s="283"/>
      <c r="C36" s="266"/>
      <c r="D36" s="274" t="s">
        <v>253</v>
      </c>
      <c r="E36" s="290">
        <v>80.01</v>
      </c>
      <c r="F36" s="290">
        <v>0</v>
      </c>
      <c r="G36" s="290">
        <v>6.5</v>
      </c>
      <c r="H36" s="287">
        <v>0</v>
      </c>
      <c r="I36" s="288">
        <f>SUM(F36:H36)*1.5</f>
        <v>9.75</v>
      </c>
      <c r="J36" s="293">
        <f>SUM(E36+I36)</f>
        <v>89.76</v>
      </c>
      <c r="K36" s="287">
        <v>157.79</v>
      </c>
      <c r="L36" s="287">
        <v>0</v>
      </c>
      <c r="M36" s="287">
        <f>6.75+187</f>
        <v>193.75</v>
      </c>
      <c r="N36" s="287">
        <v>9</v>
      </c>
      <c r="O36" s="288">
        <f>SUM(L36:N36)*1.5</f>
        <v>304.125</v>
      </c>
      <c r="P36" s="287">
        <f>K36+O36</f>
        <v>461.91499999999996</v>
      </c>
      <c r="Q36" s="293">
        <f>J36+P36</f>
        <v>551.675</v>
      </c>
      <c r="R36" s="293">
        <f>Q36/2</f>
        <v>275.8375</v>
      </c>
    </row>
    <row r="37" spans="1:18" ht="19.5">
      <c r="A37" s="329"/>
      <c r="B37" s="330"/>
      <c r="C37" s="334"/>
      <c r="D37" s="331" t="s">
        <v>242</v>
      </c>
      <c r="E37" s="332">
        <v>61</v>
      </c>
      <c r="F37" s="332">
        <v>15.75</v>
      </c>
      <c r="G37" s="332">
        <v>0</v>
      </c>
      <c r="H37" s="332">
        <v>0</v>
      </c>
      <c r="I37" s="333">
        <f>SUM(F37:H37)*1.5</f>
        <v>23.625</v>
      </c>
      <c r="J37" s="335">
        <f>SUM(E37+I37)</f>
        <v>84.625</v>
      </c>
      <c r="K37" s="332">
        <v>125.66</v>
      </c>
      <c r="L37" s="332">
        <v>0</v>
      </c>
      <c r="M37" s="332">
        <v>0</v>
      </c>
      <c r="N37" s="332">
        <v>0</v>
      </c>
      <c r="O37" s="333">
        <f>SUM(L37:N37)*1.5</f>
        <v>0</v>
      </c>
      <c r="P37" s="332">
        <f>K37+O37</f>
        <v>125.66</v>
      </c>
      <c r="Q37" s="335">
        <f>J37+P37</f>
        <v>210.285</v>
      </c>
      <c r="R37" s="335">
        <f>Q37/2</f>
        <v>105.1425</v>
      </c>
    </row>
    <row r="38" spans="1:18" ht="19.5">
      <c r="A38" s="311"/>
      <c r="B38" s="318"/>
      <c r="C38" s="321"/>
      <c r="D38" s="319" t="s">
        <v>197</v>
      </c>
      <c r="E38" s="314">
        <v>0</v>
      </c>
      <c r="F38" s="315">
        <v>0</v>
      </c>
      <c r="G38" s="315">
        <v>0</v>
      </c>
      <c r="H38" s="315">
        <v>0</v>
      </c>
      <c r="I38" s="316">
        <f>SUM(F38:H38)*1.5</f>
        <v>0</v>
      </c>
      <c r="J38" s="322">
        <f>SUM(E38+I38)</f>
        <v>0</v>
      </c>
      <c r="K38" s="315">
        <v>0</v>
      </c>
      <c r="L38" s="315">
        <v>0</v>
      </c>
      <c r="M38" s="315">
        <v>2</v>
      </c>
      <c r="N38" s="315">
        <v>0</v>
      </c>
      <c r="O38" s="316">
        <f>SUM(L38:N38)*1.5</f>
        <v>3</v>
      </c>
      <c r="P38" s="315">
        <f>K38+O38</f>
        <v>3</v>
      </c>
      <c r="Q38" s="322">
        <f>J38+P38</f>
        <v>3</v>
      </c>
      <c r="R38" s="322">
        <f>Q38/2</f>
        <v>1.5</v>
      </c>
    </row>
    <row r="39" spans="1:18" ht="19.5">
      <c r="A39" s="281"/>
      <c r="B39" s="268"/>
      <c r="C39" s="266" t="s">
        <v>171</v>
      </c>
      <c r="D39" s="282"/>
      <c r="E39" s="289">
        <f>SUM(E40+E41+E42)</f>
        <v>231.69</v>
      </c>
      <c r="F39" s="289">
        <f>SUM(F40:F42)</f>
        <v>15.75</v>
      </c>
      <c r="G39" s="289">
        <f>SUM(G40:G42)</f>
        <v>14.5</v>
      </c>
      <c r="H39" s="289">
        <f aca="true" t="shared" si="9" ref="H39:R39">SUM(H40:H42)</f>
        <v>0</v>
      </c>
      <c r="I39" s="289">
        <f t="shared" si="9"/>
        <v>45.375</v>
      </c>
      <c r="J39" s="289">
        <f t="shared" si="9"/>
        <v>277.065</v>
      </c>
      <c r="K39" s="289">
        <f t="shared" si="9"/>
        <v>206.99</v>
      </c>
      <c r="L39" s="289">
        <f t="shared" si="9"/>
        <v>0</v>
      </c>
      <c r="M39" s="289">
        <f t="shared" si="9"/>
        <v>46</v>
      </c>
      <c r="N39" s="289">
        <f t="shared" si="9"/>
        <v>0</v>
      </c>
      <c r="O39" s="289">
        <f t="shared" si="9"/>
        <v>69</v>
      </c>
      <c r="P39" s="289">
        <f t="shared" si="9"/>
        <v>275.99</v>
      </c>
      <c r="Q39" s="289">
        <f t="shared" si="9"/>
        <v>553.0550000000001</v>
      </c>
      <c r="R39" s="289">
        <f t="shared" si="9"/>
        <v>276.52750000000003</v>
      </c>
    </row>
    <row r="40" spans="1:18" ht="19.5">
      <c r="A40" s="281"/>
      <c r="B40" s="283"/>
      <c r="C40" s="266"/>
      <c r="D40" s="274" t="s">
        <v>250</v>
      </c>
      <c r="E40" s="290">
        <v>63.79</v>
      </c>
      <c r="F40" s="290">
        <v>0</v>
      </c>
      <c r="G40" s="290">
        <v>13</v>
      </c>
      <c r="H40" s="287">
        <v>0</v>
      </c>
      <c r="I40" s="288">
        <f>SUM(F40:H40)*1.5</f>
        <v>19.5</v>
      </c>
      <c r="J40" s="293">
        <f>SUM(E40+I40)</f>
        <v>83.28999999999999</v>
      </c>
      <c r="K40" s="287">
        <v>121.44</v>
      </c>
      <c r="L40" s="287">
        <v>0</v>
      </c>
      <c r="M40" s="287">
        <f>15+31</f>
        <v>46</v>
      </c>
      <c r="N40" s="287"/>
      <c r="O40" s="288">
        <f>SUM(L40:N40)*1.5</f>
        <v>69</v>
      </c>
      <c r="P40" s="287">
        <f>K40+O40</f>
        <v>190.44</v>
      </c>
      <c r="Q40" s="293">
        <f>J40+P40</f>
        <v>273.73</v>
      </c>
      <c r="R40" s="293">
        <f>Q40/2</f>
        <v>136.865</v>
      </c>
    </row>
    <row r="41" spans="1:18" ht="19.5">
      <c r="A41" s="281"/>
      <c r="B41" s="283"/>
      <c r="C41" s="266"/>
      <c r="D41" s="274" t="s">
        <v>251</v>
      </c>
      <c r="E41" s="290">
        <v>92.73</v>
      </c>
      <c r="F41" s="287">
        <v>0</v>
      </c>
      <c r="G41" s="287">
        <v>0</v>
      </c>
      <c r="H41" s="287">
        <v>0</v>
      </c>
      <c r="I41" s="288">
        <f>SUM(F41:H41)*1.5</f>
        <v>0</v>
      </c>
      <c r="J41" s="293">
        <f>SUM(E41+I41)</f>
        <v>92.73</v>
      </c>
      <c r="K41" s="287">
        <v>56</v>
      </c>
      <c r="L41" s="287">
        <v>0</v>
      </c>
      <c r="M41" s="287">
        <v>0</v>
      </c>
      <c r="N41" s="287">
        <v>0</v>
      </c>
      <c r="O41" s="288">
        <f>SUM(L41:N41)*1.5</f>
        <v>0</v>
      </c>
      <c r="P41" s="287">
        <f>K41+O41</f>
        <v>56</v>
      </c>
      <c r="Q41" s="293">
        <f>J41+P41</f>
        <v>148.73000000000002</v>
      </c>
      <c r="R41" s="293">
        <f>Q41/2</f>
        <v>74.36500000000001</v>
      </c>
    </row>
    <row r="42" spans="1:18" ht="19.5">
      <c r="A42" s="329"/>
      <c r="B42" s="330"/>
      <c r="C42" s="334"/>
      <c r="D42" s="331" t="s">
        <v>252</v>
      </c>
      <c r="E42" s="332">
        <v>75.17</v>
      </c>
      <c r="F42" s="332">
        <v>15.75</v>
      </c>
      <c r="G42" s="332">
        <v>1.5</v>
      </c>
      <c r="H42" s="332"/>
      <c r="I42" s="333">
        <f>SUM(F42:H42)*1.5</f>
        <v>25.875</v>
      </c>
      <c r="J42" s="335">
        <f>SUM(E42+I42)</f>
        <v>101.045</v>
      </c>
      <c r="K42" s="332">
        <v>29.55</v>
      </c>
      <c r="L42" s="332">
        <v>0</v>
      </c>
      <c r="M42" s="332">
        <v>0</v>
      </c>
      <c r="N42" s="332">
        <v>0</v>
      </c>
      <c r="O42" s="333">
        <f>SUM(L42:N42)*1.5</f>
        <v>0</v>
      </c>
      <c r="P42" s="332">
        <f>K42+O42</f>
        <v>29.55</v>
      </c>
      <c r="Q42" s="335">
        <f>J42+P42</f>
        <v>130.595</v>
      </c>
      <c r="R42" s="335">
        <f>Q42/2</f>
        <v>65.2975</v>
      </c>
    </row>
    <row r="43" spans="1:18" ht="19.5">
      <c r="A43" s="311"/>
      <c r="B43" s="318"/>
      <c r="C43" s="321"/>
      <c r="D43" s="319" t="s">
        <v>197</v>
      </c>
      <c r="E43" s="314">
        <v>0</v>
      </c>
      <c r="F43" s="315">
        <v>0</v>
      </c>
      <c r="G43" s="315">
        <v>5.5</v>
      </c>
      <c r="H43" s="315">
        <v>0</v>
      </c>
      <c r="I43" s="316">
        <f>SUM(F43:H43)*1.5</f>
        <v>8.25</v>
      </c>
      <c r="J43" s="322">
        <f>SUM(E43+I43)</f>
        <v>8.25</v>
      </c>
      <c r="K43" s="315">
        <v>0</v>
      </c>
      <c r="L43" s="315">
        <v>0</v>
      </c>
      <c r="M43" s="315">
        <f>4.5+9.5</f>
        <v>14</v>
      </c>
      <c r="N43" s="315">
        <v>0</v>
      </c>
      <c r="O43" s="316">
        <f>SUM(L43:N43)*1.5</f>
        <v>21</v>
      </c>
      <c r="P43" s="315">
        <f>K43+O43</f>
        <v>21</v>
      </c>
      <c r="Q43" s="322">
        <f>J43+P43</f>
        <v>29.25</v>
      </c>
      <c r="R43" s="322">
        <f>Q43/2</f>
        <v>14.625</v>
      </c>
    </row>
    <row r="44" spans="1:18" ht="19.5">
      <c r="A44" s="281"/>
      <c r="B44" s="268"/>
      <c r="C44" s="266" t="s">
        <v>172</v>
      </c>
      <c r="D44" s="282"/>
      <c r="E44" s="290">
        <v>101.56</v>
      </c>
      <c r="F44" s="287">
        <v>0</v>
      </c>
      <c r="G44" s="287">
        <v>0</v>
      </c>
      <c r="H44" s="287">
        <v>0</v>
      </c>
      <c r="I44" s="288">
        <f>SUM(F44:H44)*1.5</f>
        <v>0</v>
      </c>
      <c r="J44" s="293">
        <f>SUM(E44+I44)</f>
        <v>101.56</v>
      </c>
      <c r="K44" s="287">
        <v>112.66</v>
      </c>
      <c r="L44" s="287">
        <v>0</v>
      </c>
      <c r="M44" s="287">
        <v>0</v>
      </c>
      <c r="N44" s="287">
        <v>0</v>
      </c>
      <c r="O44" s="288">
        <f>SUM(L44:N44)*1.5</f>
        <v>0</v>
      </c>
      <c r="P44" s="287">
        <f>K44+O44</f>
        <v>112.66</v>
      </c>
      <c r="Q44" s="293">
        <f>J44+P44</f>
        <v>214.22</v>
      </c>
      <c r="R44" s="293">
        <f>Q44/2</f>
        <v>107.11</v>
      </c>
    </row>
    <row r="45" spans="1:18" ht="19.5">
      <c r="A45" s="267"/>
      <c r="B45" s="265" t="s">
        <v>174</v>
      </c>
      <c r="C45" s="267"/>
      <c r="D45" s="273"/>
      <c r="E45" s="292">
        <f>SUM(E46+E50+E51+E52+E53+E54)</f>
        <v>261.9</v>
      </c>
      <c r="F45" s="292">
        <f aca="true" t="shared" si="10" ref="F45:R45">SUM(F46+F50+F51+F52+F53+F54)</f>
        <v>0</v>
      </c>
      <c r="G45" s="292">
        <f t="shared" si="10"/>
        <v>0</v>
      </c>
      <c r="H45" s="292">
        <f t="shared" si="10"/>
        <v>0</v>
      </c>
      <c r="I45" s="292">
        <f t="shared" si="10"/>
        <v>0</v>
      </c>
      <c r="J45" s="292">
        <f t="shared" si="10"/>
        <v>261.9</v>
      </c>
      <c r="K45" s="292">
        <f t="shared" si="10"/>
        <v>131.76999999999998</v>
      </c>
      <c r="L45" s="292">
        <f t="shared" si="10"/>
        <v>0</v>
      </c>
      <c r="M45" s="292">
        <f t="shared" si="10"/>
        <v>13.5</v>
      </c>
      <c r="N45" s="292">
        <f t="shared" si="10"/>
        <v>0</v>
      </c>
      <c r="O45" s="292">
        <f t="shared" si="10"/>
        <v>20.25</v>
      </c>
      <c r="P45" s="292">
        <f t="shared" si="10"/>
        <v>152.01999999999998</v>
      </c>
      <c r="Q45" s="292">
        <f t="shared" si="10"/>
        <v>413.91999999999996</v>
      </c>
      <c r="R45" s="292">
        <f t="shared" si="10"/>
        <v>206.95999999999998</v>
      </c>
    </row>
    <row r="46" spans="1:18" ht="19.5">
      <c r="A46" s="267"/>
      <c r="B46" s="269"/>
      <c r="C46" s="273" t="s">
        <v>175</v>
      </c>
      <c r="D46" s="284"/>
      <c r="E46" s="289">
        <f>SUM(E47:E48)</f>
        <v>261.9</v>
      </c>
      <c r="F46" s="289">
        <f aca="true" t="shared" si="11" ref="F46:R46">SUM(F47:F48)</f>
        <v>0</v>
      </c>
      <c r="G46" s="289">
        <f t="shared" si="11"/>
        <v>0</v>
      </c>
      <c r="H46" s="289">
        <f t="shared" si="11"/>
        <v>0</v>
      </c>
      <c r="I46" s="289">
        <f t="shared" si="11"/>
        <v>0</v>
      </c>
      <c r="J46" s="289">
        <f t="shared" si="11"/>
        <v>261.9</v>
      </c>
      <c r="K46" s="289">
        <f t="shared" si="11"/>
        <v>127.27</v>
      </c>
      <c r="L46" s="289">
        <f t="shared" si="11"/>
        <v>0</v>
      </c>
      <c r="M46" s="289">
        <f t="shared" si="11"/>
        <v>13.5</v>
      </c>
      <c r="N46" s="289">
        <f t="shared" si="11"/>
        <v>0</v>
      </c>
      <c r="O46" s="289">
        <f t="shared" si="11"/>
        <v>20.25</v>
      </c>
      <c r="P46" s="289">
        <f t="shared" si="11"/>
        <v>147.51999999999998</v>
      </c>
      <c r="Q46" s="289">
        <f t="shared" si="11"/>
        <v>409.41999999999996</v>
      </c>
      <c r="R46" s="289">
        <f t="shared" si="11"/>
        <v>204.70999999999998</v>
      </c>
    </row>
    <row r="47" spans="1:18" ht="19.5">
      <c r="A47" s="267"/>
      <c r="B47" s="269"/>
      <c r="C47" s="269"/>
      <c r="D47" s="274" t="s">
        <v>254</v>
      </c>
      <c r="E47" s="290">
        <v>182.68</v>
      </c>
      <c r="F47" s="287">
        <v>0</v>
      </c>
      <c r="G47" s="287">
        <v>0</v>
      </c>
      <c r="H47" s="287">
        <v>0</v>
      </c>
      <c r="I47" s="288">
        <f aca="true" t="shared" si="12" ref="I47:I54">SUM(F47:H47)*1.5</f>
        <v>0</v>
      </c>
      <c r="J47" s="293">
        <f>SUM(E47+I47)</f>
        <v>182.68</v>
      </c>
      <c r="K47" s="287">
        <v>109.27</v>
      </c>
      <c r="L47" s="287">
        <v>0</v>
      </c>
      <c r="M47" s="287">
        <v>13.5</v>
      </c>
      <c r="N47" s="287">
        <v>0</v>
      </c>
      <c r="O47" s="288">
        <f aca="true" t="shared" si="13" ref="O47:O54">SUM(L47:N47)*1.5</f>
        <v>20.25</v>
      </c>
      <c r="P47" s="293">
        <f>K47+O47</f>
        <v>129.51999999999998</v>
      </c>
      <c r="Q47" s="293">
        <f>J47+P47</f>
        <v>312.2</v>
      </c>
      <c r="R47" s="293">
        <f>Q47/2</f>
        <v>156.1</v>
      </c>
    </row>
    <row r="48" spans="1:18" ht="19.5">
      <c r="A48" s="337"/>
      <c r="B48" s="338"/>
      <c r="C48" s="338"/>
      <c r="D48" s="331" t="s">
        <v>242</v>
      </c>
      <c r="E48" s="332">
        <v>79.22</v>
      </c>
      <c r="F48" s="332">
        <v>0</v>
      </c>
      <c r="G48" s="332">
        <v>0</v>
      </c>
      <c r="H48" s="332">
        <v>0</v>
      </c>
      <c r="I48" s="333">
        <f t="shared" si="12"/>
        <v>0</v>
      </c>
      <c r="J48" s="335">
        <f aca="true" t="shared" si="14" ref="J48:J54">SUM(E48+I48)</f>
        <v>79.22</v>
      </c>
      <c r="K48" s="332">
        <v>18</v>
      </c>
      <c r="L48" s="332">
        <v>0</v>
      </c>
      <c r="M48" s="332">
        <v>0</v>
      </c>
      <c r="N48" s="332">
        <v>0</v>
      </c>
      <c r="O48" s="333">
        <f t="shared" si="13"/>
        <v>0</v>
      </c>
      <c r="P48" s="335">
        <f aca="true" t="shared" si="15" ref="P48:P54">K48+O48</f>
        <v>18</v>
      </c>
      <c r="Q48" s="335">
        <f aca="true" t="shared" si="16" ref="Q48:Q54">J48+P48</f>
        <v>97.22</v>
      </c>
      <c r="R48" s="335">
        <f aca="true" t="shared" si="17" ref="R48:R54">Q48/2</f>
        <v>48.61</v>
      </c>
    </row>
    <row r="49" spans="1:18" ht="19.5">
      <c r="A49" s="312"/>
      <c r="B49" s="323"/>
      <c r="C49" s="323"/>
      <c r="D49" s="324" t="s">
        <v>197</v>
      </c>
      <c r="E49" s="315">
        <v>0</v>
      </c>
      <c r="F49" s="314">
        <v>0</v>
      </c>
      <c r="G49" s="315">
        <v>0</v>
      </c>
      <c r="H49" s="315">
        <v>0</v>
      </c>
      <c r="I49" s="316">
        <f t="shared" si="12"/>
        <v>0</v>
      </c>
      <c r="J49" s="322">
        <f t="shared" si="14"/>
        <v>0</v>
      </c>
      <c r="K49" s="315">
        <v>0</v>
      </c>
      <c r="L49" s="315">
        <v>0</v>
      </c>
      <c r="M49" s="315">
        <v>7.5</v>
      </c>
      <c r="N49" s="315">
        <v>0</v>
      </c>
      <c r="O49" s="316">
        <f t="shared" si="13"/>
        <v>11.25</v>
      </c>
      <c r="P49" s="322">
        <f t="shared" si="15"/>
        <v>11.25</v>
      </c>
      <c r="Q49" s="322">
        <f t="shared" si="16"/>
        <v>11.25</v>
      </c>
      <c r="R49" s="322">
        <f t="shared" si="17"/>
        <v>5.625</v>
      </c>
    </row>
    <row r="50" spans="1:18" ht="19.5">
      <c r="A50" s="267"/>
      <c r="B50" s="269"/>
      <c r="C50" s="267" t="s">
        <v>176</v>
      </c>
      <c r="D50" s="282"/>
      <c r="E50" s="287">
        <v>0</v>
      </c>
      <c r="F50" s="287">
        <v>0</v>
      </c>
      <c r="G50" s="287">
        <v>0</v>
      </c>
      <c r="H50" s="287">
        <v>0</v>
      </c>
      <c r="I50" s="288">
        <f t="shared" si="12"/>
        <v>0</v>
      </c>
      <c r="J50" s="293">
        <f t="shared" si="14"/>
        <v>0</v>
      </c>
      <c r="K50" s="287">
        <v>0</v>
      </c>
      <c r="L50" s="287">
        <v>0</v>
      </c>
      <c r="M50" s="287">
        <v>0</v>
      </c>
      <c r="N50" s="287">
        <v>0</v>
      </c>
      <c r="O50" s="288">
        <f t="shared" si="13"/>
        <v>0</v>
      </c>
      <c r="P50" s="293">
        <f t="shared" si="15"/>
        <v>0</v>
      </c>
      <c r="Q50" s="293">
        <f t="shared" si="16"/>
        <v>0</v>
      </c>
      <c r="R50" s="293">
        <f t="shared" si="17"/>
        <v>0</v>
      </c>
    </row>
    <row r="51" spans="1:18" ht="19.5">
      <c r="A51" s="267"/>
      <c r="B51" s="269"/>
      <c r="C51" s="267" t="s">
        <v>177</v>
      </c>
      <c r="D51" s="282"/>
      <c r="E51" s="287">
        <v>0</v>
      </c>
      <c r="F51" s="287">
        <v>0</v>
      </c>
      <c r="G51" s="287">
        <v>0</v>
      </c>
      <c r="H51" s="287">
        <v>0</v>
      </c>
      <c r="I51" s="288">
        <f t="shared" si="12"/>
        <v>0</v>
      </c>
      <c r="J51" s="293">
        <f t="shared" si="14"/>
        <v>0</v>
      </c>
      <c r="K51" s="287">
        <v>0</v>
      </c>
      <c r="L51" s="287">
        <v>0</v>
      </c>
      <c r="M51" s="287">
        <v>0</v>
      </c>
      <c r="N51" s="287">
        <v>0</v>
      </c>
      <c r="O51" s="288">
        <f t="shared" si="13"/>
        <v>0</v>
      </c>
      <c r="P51" s="293">
        <f t="shared" si="15"/>
        <v>0</v>
      </c>
      <c r="Q51" s="293">
        <f t="shared" si="16"/>
        <v>0</v>
      </c>
      <c r="R51" s="293">
        <f t="shared" si="17"/>
        <v>0</v>
      </c>
    </row>
    <row r="52" spans="1:18" ht="19.5">
      <c r="A52" s="267"/>
      <c r="B52" s="269"/>
      <c r="C52" s="267" t="s">
        <v>260</v>
      </c>
      <c r="D52" s="282"/>
      <c r="E52" s="287">
        <v>0</v>
      </c>
      <c r="F52" s="287">
        <v>0</v>
      </c>
      <c r="G52" s="287">
        <v>0</v>
      </c>
      <c r="H52" s="287">
        <v>0</v>
      </c>
      <c r="I52" s="288">
        <f t="shared" si="12"/>
        <v>0</v>
      </c>
      <c r="J52" s="293">
        <f t="shared" si="14"/>
        <v>0</v>
      </c>
      <c r="K52" s="288">
        <v>2</v>
      </c>
      <c r="L52" s="288">
        <v>0</v>
      </c>
      <c r="M52" s="288">
        <v>0</v>
      </c>
      <c r="N52" s="288">
        <v>0</v>
      </c>
      <c r="O52" s="288">
        <f t="shared" si="13"/>
        <v>0</v>
      </c>
      <c r="P52" s="293">
        <f t="shared" si="15"/>
        <v>2</v>
      </c>
      <c r="Q52" s="293">
        <f t="shared" si="16"/>
        <v>2</v>
      </c>
      <c r="R52" s="293">
        <f t="shared" si="17"/>
        <v>1</v>
      </c>
    </row>
    <row r="53" spans="1:18" ht="19.5">
      <c r="A53" s="275"/>
      <c r="B53" s="435"/>
      <c r="C53" s="275" t="s">
        <v>179</v>
      </c>
      <c r="D53" s="436"/>
      <c r="E53" s="287">
        <v>0</v>
      </c>
      <c r="F53" s="287">
        <v>0</v>
      </c>
      <c r="G53" s="287">
        <v>0</v>
      </c>
      <c r="H53" s="287">
        <v>0</v>
      </c>
      <c r="I53" s="304">
        <f t="shared" si="12"/>
        <v>0</v>
      </c>
      <c r="J53" s="437">
        <f t="shared" si="14"/>
        <v>0</v>
      </c>
      <c r="K53" s="303">
        <v>2.5</v>
      </c>
      <c r="L53" s="303">
        <v>0</v>
      </c>
      <c r="M53" s="303">
        <v>0</v>
      </c>
      <c r="N53" s="303">
        <v>0</v>
      </c>
      <c r="O53" s="304">
        <f t="shared" si="13"/>
        <v>0</v>
      </c>
      <c r="P53" s="437">
        <f t="shared" si="15"/>
        <v>2.5</v>
      </c>
      <c r="Q53" s="437">
        <f t="shared" si="16"/>
        <v>2.5</v>
      </c>
      <c r="R53" s="437">
        <f t="shared" si="17"/>
        <v>1.25</v>
      </c>
    </row>
    <row r="54" spans="1:18" ht="19.5">
      <c r="A54" s="430"/>
      <c r="B54" s="431"/>
      <c r="C54" s="430" t="s">
        <v>180</v>
      </c>
      <c r="D54" s="423"/>
      <c r="E54" s="287">
        <v>0</v>
      </c>
      <c r="F54" s="287">
        <v>0</v>
      </c>
      <c r="G54" s="287">
        <v>0</v>
      </c>
      <c r="H54" s="287">
        <v>0</v>
      </c>
      <c r="I54" s="433">
        <f t="shared" si="12"/>
        <v>0</v>
      </c>
      <c r="J54" s="434">
        <f t="shared" si="14"/>
        <v>0</v>
      </c>
      <c r="K54" s="432">
        <v>0</v>
      </c>
      <c r="L54" s="432">
        <v>0</v>
      </c>
      <c r="M54" s="432">
        <v>0</v>
      </c>
      <c r="N54" s="432">
        <v>0</v>
      </c>
      <c r="O54" s="433">
        <f t="shared" si="13"/>
        <v>0</v>
      </c>
      <c r="P54" s="434">
        <f t="shared" si="15"/>
        <v>0</v>
      </c>
      <c r="Q54" s="434">
        <f t="shared" si="16"/>
        <v>0</v>
      </c>
      <c r="R54" s="434">
        <f t="shared" si="17"/>
        <v>0</v>
      </c>
    </row>
    <row r="55" spans="1:18" ht="19.5">
      <c r="A55" s="267"/>
      <c r="B55" s="265" t="s">
        <v>181</v>
      </c>
      <c r="C55" s="267"/>
      <c r="D55" s="273"/>
      <c r="E55" s="289">
        <f>SUM(E56:E59)</f>
        <v>46.17</v>
      </c>
      <c r="F55" s="289">
        <f aca="true" t="shared" si="18" ref="F55:Q55">SUM(F56:F59)</f>
        <v>0</v>
      </c>
      <c r="G55" s="289">
        <f t="shared" si="18"/>
        <v>10</v>
      </c>
      <c r="H55" s="289">
        <f t="shared" si="18"/>
        <v>0</v>
      </c>
      <c r="I55" s="289">
        <f t="shared" si="18"/>
        <v>15</v>
      </c>
      <c r="J55" s="289">
        <f t="shared" si="18"/>
        <v>61.17</v>
      </c>
      <c r="K55" s="289">
        <f t="shared" si="18"/>
        <v>95.45</v>
      </c>
      <c r="L55" s="289">
        <f t="shared" si="18"/>
        <v>31</v>
      </c>
      <c r="M55" s="289">
        <f t="shared" si="18"/>
        <v>0</v>
      </c>
      <c r="N55" s="289">
        <f t="shared" si="18"/>
        <v>0</v>
      </c>
      <c r="O55" s="289">
        <f t="shared" si="18"/>
        <v>46.5</v>
      </c>
      <c r="P55" s="289">
        <f t="shared" si="18"/>
        <v>141.95</v>
      </c>
      <c r="Q55" s="289">
        <f t="shared" si="18"/>
        <v>203.12</v>
      </c>
      <c r="R55" s="289">
        <f>SUM(R56:R59)</f>
        <v>101.56</v>
      </c>
    </row>
    <row r="56" spans="1:18" ht="19.5">
      <c r="A56" s="267"/>
      <c r="B56" s="269"/>
      <c r="C56" s="269"/>
      <c r="D56" s="273" t="s">
        <v>291</v>
      </c>
      <c r="E56" s="289">
        <v>46.17</v>
      </c>
      <c r="F56" s="287">
        <v>0</v>
      </c>
      <c r="G56" s="287">
        <v>10</v>
      </c>
      <c r="H56" s="287">
        <v>0</v>
      </c>
      <c r="I56" s="288">
        <f>SUM(F56:H56)*1.5</f>
        <v>15</v>
      </c>
      <c r="J56" s="293">
        <f>SUM(E56+I56)</f>
        <v>61.17</v>
      </c>
      <c r="K56" s="287">
        <v>48.56</v>
      </c>
      <c r="L56" s="287">
        <v>31</v>
      </c>
      <c r="M56" s="287">
        <v>0</v>
      </c>
      <c r="N56" s="287">
        <v>0</v>
      </c>
      <c r="O56" s="288">
        <f>SUM(L56:N56)*1.5</f>
        <v>46.5</v>
      </c>
      <c r="P56" s="293">
        <f>K56+O56</f>
        <v>95.06</v>
      </c>
      <c r="Q56" s="293">
        <f>J56+P56</f>
        <v>156.23000000000002</v>
      </c>
      <c r="R56" s="293">
        <f>Q56/2</f>
        <v>78.11500000000001</v>
      </c>
    </row>
    <row r="57" spans="1:18" ht="19.5">
      <c r="A57" s="267"/>
      <c r="B57" s="269"/>
      <c r="C57" s="269"/>
      <c r="D57" s="273" t="s">
        <v>182</v>
      </c>
      <c r="E57" s="292">
        <v>0</v>
      </c>
      <c r="F57" s="288">
        <v>0</v>
      </c>
      <c r="G57" s="288">
        <v>0</v>
      </c>
      <c r="H57" s="288">
        <v>0</v>
      </c>
      <c r="I57" s="288">
        <f>SUM(F57:H57)*1.5</f>
        <v>0</v>
      </c>
      <c r="J57" s="293">
        <f>SUM(E57+I57)</f>
        <v>0</v>
      </c>
      <c r="K57" s="288">
        <v>38.22</v>
      </c>
      <c r="L57" s="288">
        <v>0</v>
      </c>
      <c r="M57" s="288">
        <v>0</v>
      </c>
      <c r="N57" s="288">
        <v>0</v>
      </c>
      <c r="O57" s="288">
        <f>SUM(L57:N57)*1.5</f>
        <v>0</v>
      </c>
      <c r="P57" s="293">
        <f>K57+O57</f>
        <v>38.22</v>
      </c>
      <c r="Q57" s="293">
        <f>J57+P57</f>
        <v>38.22</v>
      </c>
      <c r="R57" s="293">
        <f>Q57/2</f>
        <v>19.11</v>
      </c>
    </row>
    <row r="58" spans="1:18" ht="19.5">
      <c r="A58" s="267"/>
      <c r="B58" s="269"/>
      <c r="C58" s="269"/>
      <c r="D58" s="273" t="s">
        <v>183</v>
      </c>
      <c r="E58" s="289">
        <v>0</v>
      </c>
      <c r="F58" s="287">
        <v>0</v>
      </c>
      <c r="G58" s="287">
        <v>0</v>
      </c>
      <c r="H58" s="287">
        <v>0</v>
      </c>
      <c r="I58" s="288">
        <f>SUM(F58:H58)*1.5</f>
        <v>0</v>
      </c>
      <c r="J58" s="293">
        <f>SUM(E58+I58)</f>
        <v>0</v>
      </c>
      <c r="K58" s="287">
        <v>8.67</v>
      </c>
      <c r="L58" s="287">
        <v>0</v>
      </c>
      <c r="M58" s="287">
        <v>0</v>
      </c>
      <c r="N58" s="287">
        <v>0</v>
      </c>
      <c r="O58" s="288">
        <f>SUM(L58:N58)*1.5</f>
        <v>0</v>
      </c>
      <c r="P58" s="293">
        <f>K58+O58</f>
        <v>8.67</v>
      </c>
      <c r="Q58" s="293">
        <f>J58+P58</f>
        <v>8.67</v>
      </c>
      <c r="R58" s="293">
        <f>Q58/2</f>
        <v>4.335</v>
      </c>
    </row>
    <row r="59" spans="1:18" ht="19.5">
      <c r="A59" s="267"/>
      <c r="B59" s="269"/>
      <c r="C59" s="269"/>
      <c r="D59" s="273" t="s">
        <v>184</v>
      </c>
      <c r="E59" s="296">
        <v>0</v>
      </c>
      <c r="F59" s="295">
        <v>0</v>
      </c>
      <c r="G59" s="295">
        <v>0</v>
      </c>
      <c r="H59" s="295">
        <v>0</v>
      </c>
      <c r="I59" s="288">
        <f>SUM(F59:H59)*1.5</f>
        <v>0</v>
      </c>
      <c r="J59" s="293">
        <f>SUM(E59+I59)</f>
        <v>0</v>
      </c>
      <c r="K59" s="295">
        <v>0</v>
      </c>
      <c r="L59" s="295">
        <v>0</v>
      </c>
      <c r="M59" s="295">
        <v>0</v>
      </c>
      <c r="N59" s="295">
        <v>0</v>
      </c>
      <c r="O59" s="288">
        <f>SUM(L59:N59)*1.5</f>
        <v>0</v>
      </c>
      <c r="P59" s="293">
        <f>K59+O59</f>
        <v>0</v>
      </c>
      <c r="Q59" s="293">
        <f>J59+P59</f>
        <v>0</v>
      </c>
      <c r="R59" s="293">
        <f>Q59/2</f>
        <v>0</v>
      </c>
    </row>
    <row r="60" spans="1:18" ht="19.5">
      <c r="A60" s="279" t="s">
        <v>268</v>
      </c>
      <c r="B60" s="279"/>
      <c r="C60" s="279"/>
      <c r="D60" s="280"/>
      <c r="E60" s="297">
        <f>SUM(E61)</f>
        <v>839.77</v>
      </c>
      <c r="F60" s="297">
        <f aca="true" t="shared" si="19" ref="F60:R60">SUM(F61)</f>
        <v>0</v>
      </c>
      <c r="G60" s="297">
        <f t="shared" si="19"/>
        <v>0</v>
      </c>
      <c r="H60" s="297">
        <f t="shared" si="19"/>
        <v>0</v>
      </c>
      <c r="I60" s="297">
        <f t="shared" si="19"/>
        <v>0</v>
      </c>
      <c r="J60" s="297">
        <f t="shared" si="19"/>
        <v>839.77</v>
      </c>
      <c r="K60" s="297">
        <f t="shared" si="19"/>
        <v>979.47</v>
      </c>
      <c r="L60" s="297">
        <f t="shared" si="19"/>
        <v>0</v>
      </c>
      <c r="M60" s="297">
        <f t="shared" si="19"/>
        <v>0</v>
      </c>
      <c r="N60" s="297">
        <f t="shared" si="19"/>
        <v>0</v>
      </c>
      <c r="O60" s="297">
        <f t="shared" si="19"/>
        <v>0</v>
      </c>
      <c r="P60" s="297">
        <f t="shared" si="19"/>
        <v>979.47</v>
      </c>
      <c r="Q60" s="297">
        <f t="shared" si="19"/>
        <v>1819.24</v>
      </c>
      <c r="R60" s="297">
        <f t="shared" si="19"/>
        <v>909.62</v>
      </c>
    </row>
    <row r="61" spans="1:18" ht="19.5">
      <c r="A61" s="281"/>
      <c r="B61" s="267" t="s">
        <v>255</v>
      </c>
      <c r="C61" s="267"/>
      <c r="D61" s="282"/>
      <c r="E61" s="287">
        <v>839.77</v>
      </c>
      <c r="F61" s="287">
        <v>0</v>
      </c>
      <c r="G61" s="287">
        <v>0</v>
      </c>
      <c r="H61" s="287">
        <v>0</v>
      </c>
      <c r="I61" s="288">
        <f>SUM(F61:H61)*1.5</f>
        <v>0</v>
      </c>
      <c r="J61" s="298">
        <f>E61+I61</f>
        <v>839.77</v>
      </c>
      <c r="K61" s="287">
        <v>979.47</v>
      </c>
      <c r="L61" s="287">
        <v>0</v>
      </c>
      <c r="M61" s="287">
        <v>0</v>
      </c>
      <c r="N61" s="287">
        <v>0</v>
      </c>
      <c r="O61" s="288">
        <f>SUM(L61:N61)*1.5</f>
        <v>0</v>
      </c>
      <c r="P61" s="298">
        <f>K61+O61</f>
        <v>979.47</v>
      </c>
      <c r="Q61" s="298">
        <f>J61+P61</f>
        <v>1819.24</v>
      </c>
      <c r="R61" s="298">
        <f>Q61/2</f>
        <v>909.62</v>
      </c>
    </row>
    <row r="62" spans="1:18" ht="19.5">
      <c r="A62" s="279" t="s">
        <v>269</v>
      </c>
      <c r="B62" s="279"/>
      <c r="C62" s="279"/>
      <c r="D62" s="280"/>
      <c r="E62" s="297">
        <f>SUM(E63+E64+E67)</f>
        <v>625.29</v>
      </c>
      <c r="F62" s="297">
        <f aca="true" t="shared" si="20" ref="F62:R62">SUM(F63+F64+F67)</f>
        <v>0</v>
      </c>
      <c r="G62" s="297">
        <f>SUM(G63+G64+G67)</f>
        <v>0</v>
      </c>
      <c r="H62" s="297">
        <f t="shared" si="20"/>
        <v>0</v>
      </c>
      <c r="I62" s="297">
        <f t="shared" si="20"/>
        <v>0</v>
      </c>
      <c r="J62" s="297">
        <f t="shared" si="20"/>
        <v>625.29</v>
      </c>
      <c r="K62" s="297">
        <f t="shared" si="20"/>
        <v>419.95</v>
      </c>
      <c r="L62" s="297">
        <f t="shared" si="20"/>
        <v>0</v>
      </c>
      <c r="M62" s="297">
        <f t="shared" si="20"/>
        <v>0</v>
      </c>
      <c r="N62" s="297">
        <f t="shared" si="20"/>
        <v>0</v>
      </c>
      <c r="O62" s="297">
        <f t="shared" si="20"/>
        <v>0</v>
      </c>
      <c r="P62" s="297">
        <f t="shared" si="20"/>
        <v>419.95</v>
      </c>
      <c r="Q62" s="297">
        <f t="shared" si="20"/>
        <v>1045.24</v>
      </c>
      <c r="R62" s="297">
        <f t="shared" si="20"/>
        <v>522.62</v>
      </c>
    </row>
    <row r="63" spans="1:18" ht="19.5">
      <c r="A63" s="281"/>
      <c r="B63" s="267" t="s">
        <v>256</v>
      </c>
      <c r="C63" s="267"/>
      <c r="D63" s="273"/>
      <c r="E63" s="306">
        <v>212.52</v>
      </c>
      <c r="F63" s="306">
        <v>0</v>
      </c>
      <c r="G63" s="306">
        <v>0</v>
      </c>
      <c r="H63" s="306">
        <v>0</v>
      </c>
      <c r="I63" s="307">
        <f>SUM(F63:H63)*1.5</f>
        <v>0</v>
      </c>
      <c r="J63" s="308">
        <f>E63+I63</f>
        <v>212.52</v>
      </c>
      <c r="K63" s="287">
        <v>152.87</v>
      </c>
      <c r="L63" s="287">
        <v>0</v>
      </c>
      <c r="M63" s="287">
        <v>0</v>
      </c>
      <c r="N63" s="287">
        <v>0</v>
      </c>
      <c r="O63" s="288">
        <f>SUM(L63:N63)*1.5</f>
        <v>0</v>
      </c>
      <c r="P63" s="298">
        <f>K63+O63</f>
        <v>152.87</v>
      </c>
      <c r="Q63" s="298">
        <f>J63+P63</f>
        <v>365.39</v>
      </c>
      <c r="R63" s="298">
        <f>Q63/2</f>
        <v>182.695</v>
      </c>
    </row>
    <row r="64" spans="1:18" ht="19.5">
      <c r="A64" s="281"/>
      <c r="B64" s="267" t="s">
        <v>257</v>
      </c>
      <c r="C64" s="267"/>
      <c r="D64" s="273"/>
      <c r="E64" s="309">
        <f>SUM(E65:E66)</f>
        <v>272.85</v>
      </c>
      <c r="F64" s="309">
        <f aca="true" t="shared" si="21" ref="F64:Q64">SUM(F65:F66)</f>
        <v>0</v>
      </c>
      <c r="G64" s="309">
        <f t="shared" si="21"/>
        <v>0</v>
      </c>
      <c r="H64" s="309">
        <f t="shared" si="21"/>
        <v>0</v>
      </c>
      <c r="I64" s="309">
        <f t="shared" si="21"/>
        <v>0</v>
      </c>
      <c r="J64" s="309">
        <f t="shared" si="21"/>
        <v>272.85</v>
      </c>
      <c r="K64" s="289">
        <f t="shared" si="21"/>
        <v>267.08</v>
      </c>
      <c r="L64" s="289">
        <f t="shared" si="21"/>
        <v>0</v>
      </c>
      <c r="M64" s="289">
        <f t="shared" si="21"/>
        <v>0</v>
      </c>
      <c r="N64" s="289">
        <f t="shared" si="21"/>
        <v>0</v>
      </c>
      <c r="O64" s="289">
        <f t="shared" si="21"/>
        <v>0</v>
      </c>
      <c r="P64" s="289">
        <f t="shared" si="21"/>
        <v>267.08</v>
      </c>
      <c r="Q64" s="289">
        <f t="shared" si="21"/>
        <v>539.9300000000001</v>
      </c>
      <c r="R64" s="289">
        <f>SUM(R65:R66)</f>
        <v>269.96500000000003</v>
      </c>
    </row>
    <row r="65" spans="1:18" ht="19.5">
      <c r="A65" s="281"/>
      <c r="B65" s="267"/>
      <c r="C65" s="267"/>
      <c r="D65" s="273" t="s">
        <v>258</v>
      </c>
      <c r="E65" s="310">
        <v>154.02</v>
      </c>
      <c r="F65" s="306">
        <v>0</v>
      </c>
      <c r="G65" s="306">
        <v>0</v>
      </c>
      <c r="H65" s="306">
        <v>0</v>
      </c>
      <c r="I65" s="307">
        <f aca="true" t="shared" si="22" ref="I65:I98">SUM(F65:H65)*1.5</f>
        <v>0</v>
      </c>
      <c r="J65" s="308">
        <f>E65+I65</f>
        <v>154.02</v>
      </c>
      <c r="K65" s="287">
        <v>205.69</v>
      </c>
      <c r="L65" s="287">
        <v>0</v>
      </c>
      <c r="M65" s="287">
        <v>0</v>
      </c>
      <c r="N65" s="287">
        <v>0</v>
      </c>
      <c r="O65" s="288">
        <f>SUM(L65:N65)*1.5</f>
        <v>0</v>
      </c>
      <c r="P65" s="298">
        <f>K65+O65</f>
        <v>205.69</v>
      </c>
      <c r="Q65" s="298">
        <f>J65+P65</f>
        <v>359.71000000000004</v>
      </c>
      <c r="R65" s="298">
        <f>Q65/2</f>
        <v>179.85500000000002</v>
      </c>
    </row>
    <row r="66" spans="1:18" ht="19.5">
      <c r="A66" s="281"/>
      <c r="B66" s="267"/>
      <c r="C66" s="267"/>
      <c r="D66" s="273" t="s">
        <v>259</v>
      </c>
      <c r="E66" s="310">
        <v>118.83</v>
      </c>
      <c r="F66" s="306">
        <v>0</v>
      </c>
      <c r="G66" s="306">
        <v>0</v>
      </c>
      <c r="H66" s="306">
        <v>0</v>
      </c>
      <c r="I66" s="307">
        <f t="shared" si="22"/>
        <v>0</v>
      </c>
      <c r="J66" s="308">
        <f>E66+I66</f>
        <v>118.83</v>
      </c>
      <c r="K66" s="287">
        <v>61.39</v>
      </c>
      <c r="L66" s="287">
        <v>0</v>
      </c>
      <c r="M66" s="287">
        <v>0</v>
      </c>
      <c r="N66" s="287">
        <v>0</v>
      </c>
      <c r="O66" s="288">
        <f>SUM(L66:N66)*1.5</f>
        <v>0</v>
      </c>
      <c r="P66" s="298">
        <f>K66+O66</f>
        <v>61.39</v>
      </c>
      <c r="Q66" s="298">
        <f>J66+P66</f>
        <v>180.22</v>
      </c>
      <c r="R66" s="298">
        <f>Q66/2</f>
        <v>90.11</v>
      </c>
    </row>
    <row r="67" spans="1:18" ht="19.5">
      <c r="A67" s="281"/>
      <c r="B67" s="267" t="s">
        <v>262</v>
      </c>
      <c r="C67" s="267"/>
      <c r="D67" s="273"/>
      <c r="E67" s="306">
        <v>139.92</v>
      </c>
      <c r="F67" s="306">
        <v>0</v>
      </c>
      <c r="G67" s="306">
        <v>0</v>
      </c>
      <c r="H67" s="306">
        <v>0</v>
      </c>
      <c r="I67" s="307">
        <f t="shared" si="22"/>
        <v>0</v>
      </c>
      <c r="J67" s="308">
        <f>E67+I67</f>
        <v>139.92</v>
      </c>
      <c r="K67" s="287">
        <v>0</v>
      </c>
      <c r="L67" s="287">
        <v>0</v>
      </c>
      <c r="M67" s="287">
        <v>0</v>
      </c>
      <c r="N67" s="287">
        <v>0</v>
      </c>
      <c r="O67" s="288">
        <f>SUM(L67:N67)*1.5</f>
        <v>0</v>
      </c>
      <c r="P67" s="298">
        <f>K67+O67</f>
        <v>0</v>
      </c>
      <c r="Q67" s="298">
        <f>J67+P67</f>
        <v>139.92</v>
      </c>
      <c r="R67" s="298">
        <f>Q67/2</f>
        <v>69.96</v>
      </c>
    </row>
    <row r="68" spans="1:18" ht="19.5">
      <c r="A68" s="279" t="s">
        <v>270</v>
      </c>
      <c r="B68" s="279"/>
      <c r="C68" s="279"/>
      <c r="D68" s="280"/>
      <c r="E68" s="297">
        <f>SUM(E69+E71+E76+E78+E80+E85+E90+E92)</f>
        <v>3123.4300000000003</v>
      </c>
      <c r="F68" s="297">
        <f aca="true" t="shared" si="23" ref="F68:Q68">SUM(F69+F71+F76+F78+F80+F85+F90+F92)</f>
        <v>0</v>
      </c>
      <c r="G68" s="297">
        <f>SUM(G69+G71+G76+G78+G80+G85+G90+G92)</f>
        <v>12.15</v>
      </c>
      <c r="H68" s="297">
        <f t="shared" si="23"/>
        <v>2.5</v>
      </c>
      <c r="I68" s="297">
        <f>SUM(I69+I71+I76+I78+I80+I85+I90+I92)</f>
        <v>21.975</v>
      </c>
      <c r="J68" s="297">
        <f t="shared" si="23"/>
        <v>3145.405</v>
      </c>
      <c r="K68" s="297">
        <f t="shared" si="23"/>
        <v>3542.5599999999995</v>
      </c>
      <c r="L68" s="297">
        <f t="shared" si="23"/>
        <v>0</v>
      </c>
      <c r="M68" s="297">
        <f t="shared" si="23"/>
        <v>54</v>
      </c>
      <c r="N68" s="297">
        <f t="shared" si="23"/>
        <v>0.25</v>
      </c>
      <c r="O68" s="297">
        <f t="shared" si="23"/>
        <v>81.375</v>
      </c>
      <c r="P68" s="297">
        <f t="shared" si="23"/>
        <v>3623.9349999999995</v>
      </c>
      <c r="Q68" s="297">
        <f t="shared" si="23"/>
        <v>6769.34</v>
      </c>
      <c r="R68" s="297">
        <f>SUM(R69+R70+R71+R76+R78+R80+R85+R90+R92)</f>
        <v>3389.545</v>
      </c>
    </row>
    <row r="69" spans="1:18" ht="19.5">
      <c r="A69" s="281"/>
      <c r="B69" s="267" t="s">
        <v>208</v>
      </c>
      <c r="C69" s="267"/>
      <c r="D69" s="273"/>
      <c r="E69" s="299">
        <v>0</v>
      </c>
      <c r="F69" s="298">
        <v>0</v>
      </c>
      <c r="G69" s="298">
        <v>0</v>
      </c>
      <c r="H69" s="53">
        <v>1.25</v>
      </c>
      <c r="I69" s="288">
        <f t="shared" si="22"/>
        <v>1.875</v>
      </c>
      <c r="J69" s="298">
        <f>E69+I69</f>
        <v>1.875</v>
      </c>
      <c r="K69" s="298">
        <v>0</v>
      </c>
      <c r="L69" s="298">
        <v>0</v>
      </c>
      <c r="M69" s="298">
        <v>0</v>
      </c>
      <c r="N69" s="298">
        <v>0</v>
      </c>
      <c r="O69" s="288">
        <f>SUM(L69:N69)*1.5</f>
        <v>0</v>
      </c>
      <c r="P69" s="298">
        <f>K69+O69</f>
        <v>0</v>
      </c>
      <c r="Q69" s="298">
        <f>J69+P69</f>
        <v>1.875</v>
      </c>
      <c r="R69" s="298">
        <f>Q69/2</f>
        <v>0.9375</v>
      </c>
    </row>
    <row r="70" spans="1:18" ht="19.5">
      <c r="A70" s="311"/>
      <c r="B70" s="312" t="s">
        <v>209</v>
      </c>
      <c r="C70" s="312"/>
      <c r="D70" s="319"/>
      <c r="E70" s="325">
        <v>0</v>
      </c>
      <c r="F70" s="326">
        <v>0</v>
      </c>
      <c r="G70" s="326">
        <v>0</v>
      </c>
      <c r="H70" s="63">
        <v>6.5</v>
      </c>
      <c r="I70" s="316">
        <f t="shared" si="22"/>
        <v>9.75</v>
      </c>
      <c r="J70" s="326">
        <f>E70+I70</f>
        <v>9.75</v>
      </c>
      <c r="K70" s="326">
        <v>0</v>
      </c>
      <c r="L70" s="326">
        <v>0</v>
      </c>
      <c r="M70" s="326">
        <v>0</v>
      </c>
      <c r="N70" s="326">
        <v>0</v>
      </c>
      <c r="O70" s="316">
        <f>SUM(L70:N70)*1.5</f>
        <v>0</v>
      </c>
      <c r="P70" s="326">
        <f>K70+O70</f>
        <v>0</v>
      </c>
      <c r="Q70" s="326">
        <f>J70+P70</f>
        <v>9.75</v>
      </c>
      <c r="R70" s="326">
        <f>Q70/2</f>
        <v>4.875</v>
      </c>
    </row>
    <row r="71" spans="1:18" ht="19.5">
      <c r="A71" s="281"/>
      <c r="B71" s="265" t="s">
        <v>187</v>
      </c>
      <c r="C71" s="265"/>
      <c r="D71" s="273"/>
      <c r="E71" s="299">
        <f>SUM(E72:E75)</f>
        <v>582.4300000000001</v>
      </c>
      <c r="F71" s="299">
        <f aca="true" t="shared" si="24" ref="F71:Q71">SUM(F72:F75)</f>
        <v>0</v>
      </c>
      <c r="G71" s="299">
        <f t="shared" si="24"/>
        <v>0</v>
      </c>
      <c r="H71" s="299">
        <f t="shared" si="24"/>
        <v>0</v>
      </c>
      <c r="I71" s="299">
        <f t="shared" si="24"/>
        <v>0</v>
      </c>
      <c r="J71" s="299">
        <f t="shared" si="24"/>
        <v>582.4300000000001</v>
      </c>
      <c r="K71" s="299">
        <f t="shared" si="24"/>
        <v>659.5999999999999</v>
      </c>
      <c r="L71" s="299">
        <f t="shared" si="24"/>
        <v>0</v>
      </c>
      <c r="M71" s="299">
        <f t="shared" si="24"/>
        <v>0</v>
      </c>
      <c r="N71" s="299">
        <f t="shared" si="24"/>
        <v>0</v>
      </c>
      <c r="O71" s="299">
        <f t="shared" si="24"/>
        <v>0</v>
      </c>
      <c r="P71" s="299">
        <f t="shared" si="24"/>
        <v>659.5999999999999</v>
      </c>
      <c r="Q71" s="299">
        <f t="shared" si="24"/>
        <v>1242.03</v>
      </c>
      <c r="R71" s="299">
        <f>SUM(R72:R75)</f>
        <v>621.015</v>
      </c>
    </row>
    <row r="72" spans="1:18" ht="19.5">
      <c r="A72" s="281"/>
      <c r="B72" s="267"/>
      <c r="C72" s="267"/>
      <c r="D72" s="273" t="s">
        <v>210</v>
      </c>
      <c r="E72" s="19">
        <v>244.54</v>
      </c>
      <c r="F72" s="287">
        <v>0</v>
      </c>
      <c r="G72" s="287">
        <v>0</v>
      </c>
      <c r="H72" s="287">
        <v>0</v>
      </c>
      <c r="I72" s="288">
        <f t="shared" si="22"/>
        <v>0</v>
      </c>
      <c r="J72" s="298">
        <f>E72+I72</f>
        <v>244.54</v>
      </c>
      <c r="K72" s="287">
        <v>365.49</v>
      </c>
      <c r="L72" s="299">
        <f aca="true" t="shared" si="25" ref="L72:N75">SUM(L73:L76)</f>
        <v>0</v>
      </c>
      <c r="M72" s="299">
        <f t="shared" si="25"/>
        <v>0</v>
      </c>
      <c r="N72" s="299">
        <f t="shared" si="25"/>
        <v>0</v>
      </c>
      <c r="O72" s="288">
        <f>SUM(L72:N72)*1.5</f>
        <v>0</v>
      </c>
      <c r="P72" s="298">
        <f>K72+O72</f>
        <v>365.49</v>
      </c>
      <c r="Q72" s="298">
        <f>J72+P72</f>
        <v>610.03</v>
      </c>
      <c r="R72" s="298">
        <f>Q72/2</f>
        <v>305.015</v>
      </c>
    </row>
    <row r="73" spans="1:18" ht="19.5">
      <c r="A73" s="281"/>
      <c r="B73" s="267"/>
      <c r="C73" s="267"/>
      <c r="D73" s="273" t="s">
        <v>211</v>
      </c>
      <c r="E73" s="19">
        <v>119.58</v>
      </c>
      <c r="F73" s="287">
        <v>0</v>
      </c>
      <c r="G73" s="287">
        <v>0</v>
      </c>
      <c r="H73" s="287">
        <v>0</v>
      </c>
      <c r="I73" s="288">
        <f t="shared" si="22"/>
        <v>0</v>
      </c>
      <c r="J73" s="298">
        <f>E73+I73</f>
        <v>119.58</v>
      </c>
      <c r="K73" s="287">
        <v>33.03</v>
      </c>
      <c r="L73" s="299">
        <f t="shared" si="25"/>
        <v>0</v>
      </c>
      <c r="M73" s="299">
        <f t="shared" si="25"/>
        <v>0</v>
      </c>
      <c r="N73" s="299">
        <f t="shared" si="25"/>
        <v>0</v>
      </c>
      <c r="O73" s="288">
        <f>SUM(L73:N73)*1.5</f>
        <v>0</v>
      </c>
      <c r="P73" s="298">
        <f>K73+O73</f>
        <v>33.03</v>
      </c>
      <c r="Q73" s="298">
        <f>J73+P73</f>
        <v>152.61</v>
      </c>
      <c r="R73" s="298">
        <f>Q73/2</f>
        <v>76.305</v>
      </c>
    </row>
    <row r="74" spans="1:18" ht="19.5">
      <c r="A74" s="281"/>
      <c r="B74" s="267"/>
      <c r="C74" s="267"/>
      <c r="D74" s="273" t="s">
        <v>212</v>
      </c>
      <c r="E74" s="19">
        <v>9</v>
      </c>
      <c r="F74" s="287">
        <v>0</v>
      </c>
      <c r="G74" s="287">
        <v>0</v>
      </c>
      <c r="H74" s="287">
        <v>0</v>
      </c>
      <c r="I74" s="288">
        <f t="shared" si="22"/>
        <v>0</v>
      </c>
      <c r="J74" s="298">
        <f>E74+I74</f>
        <v>9</v>
      </c>
      <c r="K74" s="287">
        <v>74.16</v>
      </c>
      <c r="L74" s="299">
        <f t="shared" si="25"/>
        <v>0</v>
      </c>
      <c r="M74" s="299">
        <f t="shared" si="25"/>
        <v>0</v>
      </c>
      <c r="N74" s="299">
        <f t="shared" si="25"/>
        <v>0</v>
      </c>
      <c r="O74" s="288">
        <f>SUM(L74:N74)*1.5</f>
        <v>0</v>
      </c>
      <c r="P74" s="298">
        <f>K74+O74</f>
        <v>74.16</v>
      </c>
      <c r="Q74" s="298">
        <f>J74+P74</f>
        <v>83.16</v>
      </c>
      <c r="R74" s="298">
        <f>Q74/2</f>
        <v>41.58</v>
      </c>
    </row>
    <row r="75" spans="1:18" ht="19.5">
      <c r="A75" s="281"/>
      <c r="B75" s="267"/>
      <c r="C75" s="267"/>
      <c r="D75" s="273" t="s">
        <v>213</v>
      </c>
      <c r="E75" s="19">
        <v>209.31</v>
      </c>
      <c r="F75" s="287">
        <v>0</v>
      </c>
      <c r="G75" s="287">
        <v>0</v>
      </c>
      <c r="H75" s="287">
        <v>0</v>
      </c>
      <c r="I75" s="288">
        <f t="shared" si="22"/>
        <v>0</v>
      </c>
      <c r="J75" s="298">
        <f>E75+I75</f>
        <v>209.31</v>
      </c>
      <c r="K75" s="287">
        <v>186.92</v>
      </c>
      <c r="L75" s="299">
        <f t="shared" si="25"/>
        <v>0</v>
      </c>
      <c r="M75" s="299">
        <f t="shared" si="25"/>
        <v>0</v>
      </c>
      <c r="N75" s="299">
        <f t="shared" si="25"/>
        <v>0</v>
      </c>
      <c r="O75" s="288">
        <f>SUM(L75:N75)*1.5</f>
        <v>0</v>
      </c>
      <c r="P75" s="298">
        <f>K75+O75</f>
        <v>186.92</v>
      </c>
      <c r="Q75" s="298">
        <f>J75+P75</f>
        <v>396.23</v>
      </c>
      <c r="R75" s="298">
        <f>Q75/2</f>
        <v>198.115</v>
      </c>
    </row>
    <row r="76" spans="1:18" ht="19.5">
      <c r="A76" s="281"/>
      <c r="B76" s="265" t="s">
        <v>275</v>
      </c>
      <c r="C76" s="265"/>
      <c r="D76" s="273"/>
      <c r="E76" s="289">
        <f>SUM(E77)</f>
        <v>364.11</v>
      </c>
      <c r="F76" s="289">
        <f aca="true" t="shared" si="26" ref="F76:Q76">SUM(F77)</f>
        <v>0</v>
      </c>
      <c r="G76" s="289">
        <f t="shared" si="26"/>
        <v>0</v>
      </c>
      <c r="H76" s="289">
        <f t="shared" si="26"/>
        <v>0</v>
      </c>
      <c r="I76" s="289">
        <f t="shared" si="26"/>
        <v>0</v>
      </c>
      <c r="J76" s="289">
        <f t="shared" si="26"/>
        <v>364.11</v>
      </c>
      <c r="K76" s="289">
        <f t="shared" si="26"/>
        <v>348.3</v>
      </c>
      <c r="L76" s="289">
        <f t="shared" si="26"/>
        <v>0</v>
      </c>
      <c r="M76" s="289">
        <f t="shared" si="26"/>
        <v>0</v>
      </c>
      <c r="N76" s="289">
        <f t="shared" si="26"/>
        <v>0</v>
      </c>
      <c r="O76" s="289">
        <f t="shared" si="26"/>
        <v>0</v>
      </c>
      <c r="P76" s="289">
        <f t="shared" si="26"/>
        <v>348.3</v>
      </c>
      <c r="Q76" s="289">
        <f t="shared" si="26"/>
        <v>712.4100000000001</v>
      </c>
      <c r="R76" s="289">
        <f>SUM(R77)</f>
        <v>356.20500000000004</v>
      </c>
    </row>
    <row r="77" spans="1:18" ht="19.5">
      <c r="A77" s="285"/>
      <c r="B77" s="275"/>
      <c r="C77" s="275"/>
      <c r="D77" s="276" t="s">
        <v>288</v>
      </c>
      <c r="E77" s="37">
        <f>95+209.61+59.5</f>
        <v>364.11</v>
      </c>
      <c r="F77" s="303">
        <v>0</v>
      </c>
      <c r="G77" s="303">
        <v>0</v>
      </c>
      <c r="H77" s="303">
        <v>0</v>
      </c>
      <c r="I77" s="304">
        <f t="shared" si="22"/>
        <v>0</v>
      </c>
      <c r="J77" s="440">
        <f>E77+I77</f>
        <v>364.11</v>
      </c>
      <c r="K77" s="303">
        <v>348.3</v>
      </c>
      <c r="L77" s="303">
        <v>0</v>
      </c>
      <c r="M77" s="303">
        <v>0</v>
      </c>
      <c r="N77" s="303">
        <v>0</v>
      </c>
      <c r="O77" s="304">
        <f>SUM(L77:N77)*1.5</f>
        <v>0</v>
      </c>
      <c r="P77" s="440">
        <f>K77+O77</f>
        <v>348.3</v>
      </c>
      <c r="Q77" s="440">
        <f>J77+P77</f>
        <v>712.4100000000001</v>
      </c>
      <c r="R77" s="440">
        <f>Q77/2</f>
        <v>356.20500000000004</v>
      </c>
    </row>
    <row r="78" spans="1:18" ht="19.5">
      <c r="A78" s="420"/>
      <c r="B78" s="438" t="s">
        <v>185</v>
      </c>
      <c r="C78" s="438"/>
      <c r="D78" s="439"/>
      <c r="E78" s="424">
        <f>SUM(E79)</f>
        <v>192.78</v>
      </c>
      <c r="F78" s="424">
        <f aca="true" t="shared" si="27" ref="F78:Q78">SUM(F79)</f>
        <v>0</v>
      </c>
      <c r="G78" s="424">
        <f t="shared" si="27"/>
        <v>0</v>
      </c>
      <c r="H78" s="424">
        <f t="shared" si="27"/>
        <v>0</v>
      </c>
      <c r="I78" s="424">
        <f t="shared" si="27"/>
        <v>0</v>
      </c>
      <c r="J78" s="424">
        <f t="shared" si="27"/>
        <v>192.78</v>
      </c>
      <c r="K78" s="424">
        <f t="shared" si="27"/>
        <v>717.03</v>
      </c>
      <c r="L78" s="424">
        <f t="shared" si="27"/>
        <v>0</v>
      </c>
      <c r="M78" s="424">
        <f t="shared" si="27"/>
        <v>0</v>
      </c>
      <c r="N78" s="424">
        <f t="shared" si="27"/>
        <v>0</v>
      </c>
      <c r="O78" s="424">
        <f t="shared" si="27"/>
        <v>0</v>
      </c>
      <c r="P78" s="424">
        <f t="shared" si="27"/>
        <v>717.03</v>
      </c>
      <c r="Q78" s="424">
        <f t="shared" si="27"/>
        <v>909.81</v>
      </c>
      <c r="R78" s="424">
        <f>SUM(R79)</f>
        <v>454.905</v>
      </c>
    </row>
    <row r="79" spans="1:18" ht="19.5">
      <c r="A79" s="281"/>
      <c r="B79" s="267"/>
      <c r="C79" s="267"/>
      <c r="D79" s="273" t="s">
        <v>215</v>
      </c>
      <c r="E79" s="19">
        <v>192.78</v>
      </c>
      <c r="F79" s="287">
        <v>0</v>
      </c>
      <c r="G79" s="287">
        <v>0</v>
      </c>
      <c r="H79" s="287">
        <v>0</v>
      </c>
      <c r="I79" s="288">
        <f t="shared" si="22"/>
        <v>0</v>
      </c>
      <c r="J79" s="287">
        <f>E79+I79</f>
        <v>192.78</v>
      </c>
      <c r="K79" s="287">
        <v>717.03</v>
      </c>
      <c r="L79" s="287">
        <v>0</v>
      </c>
      <c r="M79" s="287">
        <v>0</v>
      </c>
      <c r="N79" s="287">
        <v>0</v>
      </c>
      <c r="O79" s="288">
        <f>SUM(L79:N79)*1.5</f>
        <v>0</v>
      </c>
      <c r="P79" s="287">
        <f>K79+O79</f>
        <v>717.03</v>
      </c>
      <c r="Q79" s="287">
        <f>J79+P79</f>
        <v>909.81</v>
      </c>
      <c r="R79" s="287">
        <f>Q79/2</f>
        <v>454.905</v>
      </c>
    </row>
    <row r="80" spans="1:18" ht="19.5">
      <c r="A80" s="265"/>
      <c r="B80" s="265" t="s">
        <v>186</v>
      </c>
      <c r="C80" s="265"/>
      <c r="D80" s="271"/>
      <c r="E80" s="289">
        <f>SUM(E81+E83)</f>
        <v>559.71</v>
      </c>
      <c r="F80" s="289">
        <f aca="true" t="shared" si="28" ref="F80:Q80">SUM(F81+F83)</f>
        <v>0</v>
      </c>
      <c r="G80" s="289">
        <f t="shared" si="28"/>
        <v>5.32</v>
      </c>
      <c r="H80" s="289">
        <f t="shared" si="28"/>
        <v>0</v>
      </c>
      <c r="I80" s="289">
        <f t="shared" si="28"/>
        <v>7.98</v>
      </c>
      <c r="J80" s="289">
        <f t="shared" si="28"/>
        <v>567.69</v>
      </c>
      <c r="K80" s="289">
        <f t="shared" si="28"/>
        <v>498.52</v>
      </c>
      <c r="L80" s="289">
        <f t="shared" si="28"/>
        <v>0</v>
      </c>
      <c r="M80" s="289">
        <f t="shared" si="28"/>
        <v>6</v>
      </c>
      <c r="N80" s="289">
        <f t="shared" si="28"/>
        <v>0</v>
      </c>
      <c r="O80" s="289">
        <f t="shared" si="28"/>
        <v>9</v>
      </c>
      <c r="P80" s="289">
        <f t="shared" si="28"/>
        <v>507.52</v>
      </c>
      <c r="Q80" s="289">
        <f t="shared" si="28"/>
        <v>1075.2099999999998</v>
      </c>
      <c r="R80" s="289">
        <f>SUM(R81+R83)</f>
        <v>537.6049999999999</v>
      </c>
    </row>
    <row r="81" spans="1:18" ht="19.5">
      <c r="A81" s="281"/>
      <c r="B81" s="267"/>
      <c r="C81" s="267"/>
      <c r="D81" s="273" t="s">
        <v>194</v>
      </c>
      <c r="E81" s="251">
        <v>559.71</v>
      </c>
      <c r="F81" s="251">
        <v>0</v>
      </c>
      <c r="G81" s="251">
        <v>2.83</v>
      </c>
      <c r="H81" s="287">
        <v>0</v>
      </c>
      <c r="I81" s="288">
        <f t="shared" si="22"/>
        <v>4.245</v>
      </c>
      <c r="J81" s="287">
        <f>E81+I81</f>
        <v>563.955</v>
      </c>
      <c r="K81" s="287">
        <v>498.52</v>
      </c>
      <c r="L81" s="287">
        <v>0</v>
      </c>
      <c r="M81" s="287">
        <v>6</v>
      </c>
      <c r="N81" s="287"/>
      <c r="O81" s="288">
        <f>SUM(L81:N81)*1.5</f>
        <v>9</v>
      </c>
      <c r="P81" s="287">
        <f>K81+O81</f>
        <v>507.52</v>
      </c>
      <c r="Q81" s="287">
        <f>J81+P81</f>
        <v>1071.475</v>
      </c>
      <c r="R81" s="287">
        <f>Q81/2</f>
        <v>535.7375</v>
      </c>
    </row>
    <row r="82" spans="1:18" ht="19.5">
      <c r="A82" s="311"/>
      <c r="B82" s="312"/>
      <c r="C82" s="312"/>
      <c r="D82" s="319" t="s">
        <v>195</v>
      </c>
      <c r="E82" s="23">
        <v>0</v>
      </c>
      <c r="F82" s="23">
        <v>0</v>
      </c>
      <c r="G82" s="23">
        <v>2</v>
      </c>
      <c r="H82" s="315">
        <v>0</v>
      </c>
      <c r="I82" s="316">
        <f t="shared" si="22"/>
        <v>3</v>
      </c>
      <c r="J82" s="315">
        <f>E82+I82</f>
        <v>3</v>
      </c>
      <c r="K82" s="315">
        <v>0</v>
      </c>
      <c r="L82" s="315">
        <v>0</v>
      </c>
      <c r="M82" s="315">
        <v>2.5</v>
      </c>
      <c r="N82" s="315"/>
      <c r="O82" s="316">
        <f>SUM(L82:N82)*1.5</f>
        <v>3.75</v>
      </c>
      <c r="P82" s="315">
        <f>K82+O82</f>
        <v>3.75</v>
      </c>
      <c r="Q82" s="315">
        <f>J82+P82</f>
        <v>6.75</v>
      </c>
      <c r="R82" s="315">
        <f>Q82/2</f>
        <v>3.375</v>
      </c>
    </row>
    <row r="83" spans="1:18" ht="19.5">
      <c r="A83" s="281"/>
      <c r="B83" s="267"/>
      <c r="C83" s="267"/>
      <c r="D83" s="273" t="s">
        <v>196</v>
      </c>
      <c r="E83" s="251">
        <v>0</v>
      </c>
      <c r="F83" s="251">
        <v>0</v>
      </c>
      <c r="G83" s="251">
        <v>2.49</v>
      </c>
      <c r="H83" s="287">
        <v>0</v>
      </c>
      <c r="I83" s="288">
        <f t="shared" si="22"/>
        <v>3.7350000000000003</v>
      </c>
      <c r="J83" s="287">
        <f>E83+I83</f>
        <v>3.7350000000000003</v>
      </c>
      <c r="K83" s="287">
        <v>0</v>
      </c>
      <c r="L83" s="287">
        <v>0</v>
      </c>
      <c r="M83" s="287">
        <v>0</v>
      </c>
      <c r="N83" s="287">
        <v>0</v>
      </c>
      <c r="O83" s="288">
        <f>SUM(L83:N83)*1.5</f>
        <v>0</v>
      </c>
      <c r="P83" s="287">
        <f>K83+O83</f>
        <v>0</v>
      </c>
      <c r="Q83" s="287">
        <f>J83+P83</f>
        <v>3.7350000000000003</v>
      </c>
      <c r="R83" s="287">
        <f>Q83/2</f>
        <v>1.8675000000000002</v>
      </c>
    </row>
    <row r="84" spans="1:18" ht="19.5">
      <c r="A84" s="311"/>
      <c r="B84" s="312"/>
      <c r="C84" s="312"/>
      <c r="D84" s="319" t="s">
        <v>197</v>
      </c>
      <c r="E84" s="23">
        <v>0</v>
      </c>
      <c r="F84" s="23">
        <v>0</v>
      </c>
      <c r="G84" s="23">
        <v>1</v>
      </c>
      <c r="H84" s="315">
        <v>0</v>
      </c>
      <c r="I84" s="316">
        <f t="shared" si="22"/>
        <v>1.5</v>
      </c>
      <c r="J84" s="315">
        <f>E84+I84</f>
        <v>1.5</v>
      </c>
      <c r="K84" s="315">
        <v>0</v>
      </c>
      <c r="L84" s="315">
        <v>0</v>
      </c>
      <c r="M84" s="315">
        <v>6.5</v>
      </c>
      <c r="N84" s="315"/>
      <c r="O84" s="316">
        <f>SUM(L84:N84)*1.5</f>
        <v>9.75</v>
      </c>
      <c r="P84" s="315">
        <f>K84+O84</f>
        <v>9.75</v>
      </c>
      <c r="Q84" s="315">
        <f>J84+P84</f>
        <v>11.25</v>
      </c>
      <c r="R84" s="315">
        <f>Q84/2</f>
        <v>5.625</v>
      </c>
    </row>
    <row r="85" spans="1:18" ht="19.5">
      <c r="A85" s="281"/>
      <c r="B85" s="265" t="s">
        <v>188</v>
      </c>
      <c r="C85" s="265"/>
      <c r="D85" s="271"/>
      <c r="E85" s="289">
        <f>SUM(E86:E89)</f>
        <v>291.26</v>
      </c>
      <c r="F85" s="289">
        <f aca="true" t="shared" si="29" ref="F85:Q85">SUM(F86:F89)</f>
        <v>0</v>
      </c>
      <c r="G85" s="289">
        <f t="shared" si="29"/>
        <v>0</v>
      </c>
      <c r="H85" s="289">
        <f t="shared" si="29"/>
        <v>0</v>
      </c>
      <c r="I85" s="289">
        <f t="shared" si="29"/>
        <v>0</v>
      </c>
      <c r="J85" s="289">
        <f t="shared" si="29"/>
        <v>291.26</v>
      </c>
      <c r="K85" s="289">
        <f t="shared" si="29"/>
        <v>267.37</v>
      </c>
      <c r="L85" s="289">
        <f t="shared" si="29"/>
        <v>0</v>
      </c>
      <c r="M85" s="289">
        <f t="shared" si="29"/>
        <v>0</v>
      </c>
      <c r="N85" s="289">
        <f t="shared" si="29"/>
        <v>0</v>
      </c>
      <c r="O85" s="289">
        <f t="shared" si="29"/>
        <v>0</v>
      </c>
      <c r="P85" s="289">
        <f t="shared" si="29"/>
        <v>267.37</v>
      </c>
      <c r="Q85" s="289">
        <f t="shared" si="29"/>
        <v>558.63</v>
      </c>
      <c r="R85" s="289">
        <f>SUM(R86:R89)</f>
        <v>279.315</v>
      </c>
    </row>
    <row r="86" spans="1:18" ht="19.5">
      <c r="A86" s="281"/>
      <c r="B86" s="267"/>
      <c r="C86" s="267"/>
      <c r="D86" s="273" t="s">
        <v>189</v>
      </c>
      <c r="E86" s="19">
        <v>59.94</v>
      </c>
      <c r="F86" s="287">
        <v>0</v>
      </c>
      <c r="G86" s="287">
        <v>0</v>
      </c>
      <c r="H86" s="287">
        <v>0</v>
      </c>
      <c r="I86" s="288">
        <f t="shared" si="22"/>
        <v>0</v>
      </c>
      <c r="J86" s="287">
        <f>E86+I86</f>
        <v>59.94</v>
      </c>
      <c r="K86" s="287">
        <v>50.86</v>
      </c>
      <c r="L86" s="287">
        <v>0</v>
      </c>
      <c r="M86" s="287">
        <v>0</v>
      </c>
      <c r="N86" s="287">
        <v>0</v>
      </c>
      <c r="O86" s="288">
        <f>SUM(L86:N86)*1.5</f>
        <v>0</v>
      </c>
      <c r="P86" s="287">
        <f>K86+O86</f>
        <v>50.86</v>
      </c>
      <c r="Q86" s="287">
        <f>J86+P86</f>
        <v>110.8</v>
      </c>
      <c r="R86" s="287">
        <f>Q86/2</f>
        <v>55.4</v>
      </c>
    </row>
    <row r="87" spans="1:18" ht="19.5">
      <c r="A87" s="281"/>
      <c r="B87" s="267"/>
      <c r="C87" s="267"/>
      <c r="D87" s="273" t="s">
        <v>190</v>
      </c>
      <c r="E87" s="19">
        <v>108.15</v>
      </c>
      <c r="F87" s="287">
        <v>0</v>
      </c>
      <c r="G87" s="287">
        <v>0</v>
      </c>
      <c r="H87" s="287">
        <v>0</v>
      </c>
      <c r="I87" s="288">
        <f t="shared" si="22"/>
        <v>0</v>
      </c>
      <c r="J87" s="287">
        <f>E87+I87</f>
        <v>108.15</v>
      </c>
      <c r="K87" s="287">
        <v>93.81</v>
      </c>
      <c r="L87" s="287">
        <v>0</v>
      </c>
      <c r="M87" s="287">
        <v>0</v>
      </c>
      <c r="N87" s="287">
        <v>0</v>
      </c>
      <c r="O87" s="288">
        <f>SUM(L87:N87)*1.5</f>
        <v>0</v>
      </c>
      <c r="P87" s="287">
        <f>K87+O87</f>
        <v>93.81</v>
      </c>
      <c r="Q87" s="287">
        <f>J87+P87</f>
        <v>201.96</v>
      </c>
      <c r="R87" s="287">
        <f>Q87/2</f>
        <v>100.98</v>
      </c>
    </row>
    <row r="88" spans="1:18" ht="19.5">
      <c r="A88" s="281"/>
      <c r="B88" s="267"/>
      <c r="C88" s="267"/>
      <c r="D88" s="273" t="s">
        <v>191</v>
      </c>
      <c r="E88" s="19">
        <v>30</v>
      </c>
      <c r="F88" s="287">
        <v>0</v>
      </c>
      <c r="G88" s="287">
        <v>0</v>
      </c>
      <c r="H88" s="287">
        <v>0</v>
      </c>
      <c r="I88" s="288">
        <f t="shared" si="22"/>
        <v>0</v>
      </c>
      <c r="J88" s="287">
        <f>E88+I88</f>
        <v>30</v>
      </c>
      <c r="K88" s="287">
        <v>21.51</v>
      </c>
      <c r="L88" s="287">
        <v>0</v>
      </c>
      <c r="M88" s="287">
        <v>0</v>
      </c>
      <c r="N88" s="287">
        <v>0</v>
      </c>
      <c r="O88" s="288">
        <f>SUM(L88:N88)*1.5</f>
        <v>0</v>
      </c>
      <c r="P88" s="287">
        <f>K88+O88</f>
        <v>21.51</v>
      </c>
      <c r="Q88" s="287">
        <f>J88+P88</f>
        <v>51.510000000000005</v>
      </c>
      <c r="R88" s="287">
        <f>Q88/2</f>
        <v>25.755000000000003</v>
      </c>
    </row>
    <row r="89" spans="1:18" ht="19.5">
      <c r="A89" s="281"/>
      <c r="B89" s="267"/>
      <c r="C89" s="267"/>
      <c r="D89" s="273" t="s">
        <v>192</v>
      </c>
      <c r="E89" s="19">
        <v>93.17</v>
      </c>
      <c r="F89" s="287">
        <v>0</v>
      </c>
      <c r="G89" s="287">
        <v>0</v>
      </c>
      <c r="H89" s="287">
        <v>0</v>
      </c>
      <c r="I89" s="288">
        <f t="shared" si="22"/>
        <v>0</v>
      </c>
      <c r="J89" s="287">
        <f>E89+I89</f>
        <v>93.17</v>
      </c>
      <c r="K89" s="287">
        <v>101.19</v>
      </c>
      <c r="L89" s="287">
        <v>0</v>
      </c>
      <c r="M89" s="287">
        <v>0</v>
      </c>
      <c r="N89" s="287">
        <v>0</v>
      </c>
      <c r="O89" s="288">
        <f>SUM(L89:N89)*1.5</f>
        <v>0</v>
      </c>
      <c r="P89" s="287">
        <f>K89+O89</f>
        <v>101.19</v>
      </c>
      <c r="Q89" s="287">
        <f>J89+P89</f>
        <v>194.36</v>
      </c>
      <c r="R89" s="287">
        <f>Q89/2</f>
        <v>97.18</v>
      </c>
    </row>
    <row r="90" spans="1:18" ht="19.5">
      <c r="A90" s="281"/>
      <c r="B90" s="265" t="s">
        <v>200</v>
      </c>
      <c r="C90" s="265"/>
      <c r="D90" s="271"/>
      <c r="E90" s="289">
        <f>SUM(E91)</f>
        <v>976.66</v>
      </c>
      <c r="F90" s="289">
        <f aca="true" t="shared" si="30" ref="F90:Q90">SUM(F91)</f>
        <v>0</v>
      </c>
      <c r="G90" s="289">
        <f t="shared" si="30"/>
        <v>6.83</v>
      </c>
      <c r="H90" s="289">
        <f t="shared" si="30"/>
        <v>1.25</v>
      </c>
      <c r="I90" s="289">
        <f t="shared" si="30"/>
        <v>12.120000000000001</v>
      </c>
      <c r="J90" s="289">
        <f t="shared" si="30"/>
        <v>988.78</v>
      </c>
      <c r="K90" s="289">
        <f t="shared" si="30"/>
        <v>906.49</v>
      </c>
      <c r="L90" s="289">
        <f t="shared" si="30"/>
        <v>0</v>
      </c>
      <c r="M90" s="289">
        <f t="shared" si="30"/>
        <v>48</v>
      </c>
      <c r="N90" s="289">
        <f t="shared" si="30"/>
        <v>0.25</v>
      </c>
      <c r="O90" s="289">
        <f t="shared" si="30"/>
        <v>72.375</v>
      </c>
      <c r="P90" s="289">
        <f t="shared" si="30"/>
        <v>978.865</v>
      </c>
      <c r="Q90" s="289">
        <f t="shared" si="30"/>
        <v>1967.645</v>
      </c>
      <c r="R90" s="289">
        <f>SUM(R91)</f>
        <v>983.8225</v>
      </c>
    </row>
    <row r="91" spans="1:18" ht="19.5">
      <c r="A91" s="281"/>
      <c r="B91" s="267"/>
      <c r="C91" s="267"/>
      <c r="D91" s="273" t="s">
        <v>193</v>
      </c>
      <c r="E91" s="19">
        <v>976.66</v>
      </c>
      <c r="F91" s="287">
        <v>0</v>
      </c>
      <c r="G91" s="19">
        <v>6.83</v>
      </c>
      <c r="H91" s="19">
        <v>1.25</v>
      </c>
      <c r="I91" s="288">
        <f t="shared" si="22"/>
        <v>12.120000000000001</v>
      </c>
      <c r="J91" s="287">
        <f>E91+I91</f>
        <v>988.78</v>
      </c>
      <c r="K91" s="287">
        <v>906.49</v>
      </c>
      <c r="L91" s="287">
        <v>0</v>
      </c>
      <c r="M91" s="287">
        <f>4.5+43.5</f>
        <v>48</v>
      </c>
      <c r="N91" s="287">
        <v>0.25</v>
      </c>
      <c r="O91" s="288">
        <f>SUM(L91:N91)*1.5</f>
        <v>72.375</v>
      </c>
      <c r="P91" s="287">
        <f>K91+O91</f>
        <v>978.865</v>
      </c>
      <c r="Q91" s="287">
        <f>J91+P91</f>
        <v>1967.645</v>
      </c>
      <c r="R91" s="287">
        <f>Q91/2</f>
        <v>983.8225</v>
      </c>
    </row>
    <row r="92" spans="1:18" ht="19.5">
      <c r="A92" s="281"/>
      <c r="B92" s="265" t="s">
        <v>199</v>
      </c>
      <c r="C92" s="265"/>
      <c r="D92" s="271"/>
      <c r="E92" s="289">
        <f>SUM(E93)</f>
        <v>156.48</v>
      </c>
      <c r="F92" s="289">
        <f aca="true" t="shared" si="31" ref="F92:Q92">SUM(F93)</f>
        <v>0</v>
      </c>
      <c r="G92" s="289">
        <f t="shared" si="31"/>
        <v>0</v>
      </c>
      <c r="H92" s="289">
        <f t="shared" si="31"/>
        <v>0</v>
      </c>
      <c r="I92" s="289">
        <f t="shared" si="31"/>
        <v>0</v>
      </c>
      <c r="J92" s="289">
        <f t="shared" si="31"/>
        <v>156.48</v>
      </c>
      <c r="K92" s="289">
        <f t="shared" si="31"/>
        <v>145.25</v>
      </c>
      <c r="L92" s="289">
        <f t="shared" si="31"/>
        <v>0</v>
      </c>
      <c r="M92" s="289">
        <f t="shared" si="31"/>
        <v>0</v>
      </c>
      <c r="N92" s="289">
        <f t="shared" si="31"/>
        <v>0</v>
      </c>
      <c r="O92" s="289">
        <f t="shared" si="31"/>
        <v>0</v>
      </c>
      <c r="P92" s="289">
        <f t="shared" si="31"/>
        <v>145.25</v>
      </c>
      <c r="Q92" s="289">
        <f t="shared" si="31"/>
        <v>301.73</v>
      </c>
      <c r="R92" s="289">
        <f>SUM(R93)</f>
        <v>150.865</v>
      </c>
    </row>
    <row r="93" spans="1:18" ht="19.5">
      <c r="A93" s="281"/>
      <c r="B93" s="267"/>
      <c r="C93" s="267"/>
      <c r="D93" s="273" t="s">
        <v>198</v>
      </c>
      <c r="E93" s="73">
        <v>156.48</v>
      </c>
      <c r="F93" s="287">
        <v>0</v>
      </c>
      <c r="G93" s="287">
        <v>0</v>
      </c>
      <c r="H93" s="287">
        <v>0</v>
      </c>
      <c r="I93" s="288">
        <f t="shared" si="22"/>
        <v>0</v>
      </c>
      <c r="J93" s="287">
        <f>E93+I93</f>
        <v>156.48</v>
      </c>
      <c r="K93" s="287">
        <v>145.25</v>
      </c>
      <c r="L93" s="287">
        <v>0</v>
      </c>
      <c r="M93" s="287">
        <v>0</v>
      </c>
      <c r="N93" s="287">
        <v>0</v>
      </c>
      <c r="O93" s="288">
        <f>SUM(L93:N93)*1.5</f>
        <v>0</v>
      </c>
      <c r="P93" s="287">
        <f>K93+O93</f>
        <v>145.25</v>
      </c>
      <c r="Q93" s="287">
        <f>J93+P93</f>
        <v>301.73</v>
      </c>
      <c r="R93" s="287">
        <f>Q93/2</f>
        <v>150.865</v>
      </c>
    </row>
    <row r="94" spans="1:18" ht="19.5">
      <c r="A94" s="279" t="s">
        <v>271</v>
      </c>
      <c r="B94" s="279"/>
      <c r="C94" s="279"/>
      <c r="D94" s="280"/>
      <c r="E94" s="300">
        <f>SUM(E95+E97)</f>
        <v>0</v>
      </c>
      <c r="F94" s="300">
        <f aca="true" t="shared" si="32" ref="F94:R94">SUM(F95+F97)</f>
        <v>0</v>
      </c>
      <c r="G94" s="300">
        <f t="shared" si="32"/>
        <v>8.83</v>
      </c>
      <c r="H94" s="300">
        <f t="shared" si="32"/>
        <v>0</v>
      </c>
      <c r="I94" s="300">
        <f t="shared" si="32"/>
        <v>13.245000000000001</v>
      </c>
      <c r="J94" s="300">
        <f t="shared" si="32"/>
        <v>13.245000000000001</v>
      </c>
      <c r="K94" s="300">
        <f t="shared" si="32"/>
        <v>0</v>
      </c>
      <c r="L94" s="300">
        <f t="shared" si="32"/>
        <v>0</v>
      </c>
      <c r="M94" s="300">
        <f t="shared" si="32"/>
        <v>35</v>
      </c>
      <c r="N94" s="300">
        <f t="shared" si="32"/>
        <v>0</v>
      </c>
      <c r="O94" s="300">
        <f t="shared" si="32"/>
        <v>52.5</v>
      </c>
      <c r="P94" s="300">
        <f t="shared" si="32"/>
        <v>52.5</v>
      </c>
      <c r="Q94" s="300">
        <f t="shared" si="32"/>
        <v>65.745</v>
      </c>
      <c r="R94" s="300">
        <f t="shared" si="32"/>
        <v>32.8725</v>
      </c>
    </row>
    <row r="95" spans="1:18" ht="19.5">
      <c r="A95" s="281"/>
      <c r="B95" s="267" t="s">
        <v>264</v>
      </c>
      <c r="C95" s="267"/>
      <c r="D95" s="273"/>
      <c r="E95" s="289">
        <v>0</v>
      </c>
      <c r="F95" s="287">
        <v>0</v>
      </c>
      <c r="G95" s="252">
        <v>6.83</v>
      </c>
      <c r="H95" s="287">
        <v>0</v>
      </c>
      <c r="I95" s="288">
        <f t="shared" si="22"/>
        <v>10.245000000000001</v>
      </c>
      <c r="J95" s="287">
        <f>E95+I95</f>
        <v>10.245000000000001</v>
      </c>
      <c r="K95" s="287">
        <v>0</v>
      </c>
      <c r="L95" s="287">
        <v>0</v>
      </c>
      <c r="M95" s="287">
        <f>6+12</f>
        <v>18</v>
      </c>
      <c r="N95" s="287"/>
      <c r="O95" s="288">
        <f>SUM(L95:N95)*1.5</f>
        <v>27</v>
      </c>
      <c r="P95" s="287">
        <f>K95+O95</f>
        <v>27</v>
      </c>
      <c r="Q95" s="287">
        <f>J95+P95</f>
        <v>37.245000000000005</v>
      </c>
      <c r="R95" s="287">
        <f>Q95/2</f>
        <v>18.622500000000002</v>
      </c>
    </row>
    <row r="96" spans="1:18" ht="19.5">
      <c r="A96" s="311"/>
      <c r="B96" s="312"/>
      <c r="C96" s="312"/>
      <c r="D96" s="319" t="s">
        <v>197</v>
      </c>
      <c r="E96" s="314">
        <v>0</v>
      </c>
      <c r="F96" s="315">
        <v>0</v>
      </c>
      <c r="G96" s="103">
        <v>4</v>
      </c>
      <c r="H96" s="315">
        <v>0</v>
      </c>
      <c r="I96" s="316">
        <f t="shared" si="22"/>
        <v>6</v>
      </c>
      <c r="J96" s="315">
        <f>E96+I96</f>
        <v>6</v>
      </c>
      <c r="K96" s="315">
        <v>0</v>
      </c>
      <c r="L96" s="315">
        <v>0</v>
      </c>
      <c r="M96" s="315">
        <v>2</v>
      </c>
      <c r="N96" s="315"/>
      <c r="O96" s="316">
        <f>SUM(L96:N96)*1.5</f>
        <v>3</v>
      </c>
      <c r="P96" s="315">
        <f>K96+O96</f>
        <v>3</v>
      </c>
      <c r="Q96" s="315">
        <f>J96+P96</f>
        <v>9</v>
      </c>
      <c r="R96" s="315">
        <f>Q96/2</f>
        <v>4.5</v>
      </c>
    </row>
    <row r="97" spans="1:18" ht="19.5">
      <c r="A97" s="281"/>
      <c r="B97" s="267" t="s">
        <v>265</v>
      </c>
      <c r="C97" s="267"/>
      <c r="D97" s="273"/>
      <c r="E97" s="289">
        <v>0</v>
      </c>
      <c r="F97" s="287">
        <v>0</v>
      </c>
      <c r="G97" s="252">
        <v>2</v>
      </c>
      <c r="H97" s="287">
        <v>0</v>
      </c>
      <c r="I97" s="288">
        <f t="shared" si="22"/>
        <v>3</v>
      </c>
      <c r="J97" s="287">
        <f>E97+I97</f>
        <v>3</v>
      </c>
      <c r="K97" s="287">
        <v>0</v>
      </c>
      <c r="L97" s="287">
        <v>0</v>
      </c>
      <c r="M97" s="287">
        <f>1.5+15.5</f>
        <v>17</v>
      </c>
      <c r="N97" s="287"/>
      <c r="O97" s="288">
        <f>SUM(L97:N97)*1.5</f>
        <v>25.5</v>
      </c>
      <c r="P97" s="287">
        <f>K97+O97</f>
        <v>25.5</v>
      </c>
      <c r="Q97" s="287">
        <f>J97+P97</f>
        <v>28.5</v>
      </c>
      <c r="R97" s="287">
        <f>Q97/2</f>
        <v>14.25</v>
      </c>
    </row>
    <row r="98" spans="1:18" ht="19.5">
      <c r="A98" s="441"/>
      <c r="B98" s="442"/>
      <c r="C98" s="442"/>
      <c r="D98" s="443" t="s">
        <v>197</v>
      </c>
      <c r="E98" s="444">
        <v>0</v>
      </c>
      <c r="F98" s="445">
        <v>0</v>
      </c>
      <c r="G98" s="445">
        <v>0</v>
      </c>
      <c r="H98" s="445">
        <v>0</v>
      </c>
      <c r="I98" s="446">
        <f t="shared" si="22"/>
        <v>0</v>
      </c>
      <c r="J98" s="445">
        <f>E98+I98</f>
        <v>0</v>
      </c>
      <c r="K98" s="445">
        <v>0</v>
      </c>
      <c r="L98" s="445">
        <v>0</v>
      </c>
      <c r="M98" s="445">
        <v>4</v>
      </c>
      <c r="N98" s="445"/>
      <c r="O98" s="446">
        <f>SUM(L98:N98)*1.5</f>
        <v>6</v>
      </c>
      <c r="P98" s="445">
        <f>K98+O98</f>
        <v>6</v>
      </c>
      <c r="Q98" s="445">
        <f>J98+P98</f>
        <v>6</v>
      </c>
      <c r="R98" s="445">
        <f>Q98/2</f>
        <v>3</v>
      </c>
    </row>
    <row r="99" spans="1:18" ht="19.5">
      <c r="A99" s="450"/>
      <c r="B99" s="451"/>
      <c r="C99" s="451"/>
      <c r="D99" s="451"/>
      <c r="E99" s="452"/>
      <c r="F99" s="452"/>
      <c r="G99" s="452"/>
      <c r="H99" s="452"/>
      <c r="I99" s="453"/>
      <c r="J99" s="452"/>
      <c r="K99" s="452"/>
      <c r="L99" s="452"/>
      <c r="M99" s="452"/>
      <c r="N99" s="452"/>
      <c r="O99" s="453"/>
      <c r="P99" s="452"/>
      <c r="Q99" s="452"/>
      <c r="R99" s="452"/>
    </row>
    <row r="100" spans="1:18" ht="19.5">
      <c r="A100" s="454"/>
      <c r="B100" s="400"/>
      <c r="C100" s="400"/>
      <c r="D100" s="400"/>
      <c r="E100" s="455"/>
      <c r="F100" s="455"/>
      <c r="G100" s="455"/>
      <c r="H100" s="455"/>
      <c r="I100" s="456"/>
      <c r="J100" s="455"/>
      <c r="K100" s="455"/>
      <c r="L100" s="455"/>
      <c r="M100" s="455"/>
      <c r="N100" s="455"/>
      <c r="O100" s="456"/>
      <c r="P100" s="455"/>
      <c r="Q100" s="455"/>
      <c r="R100" s="455"/>
    </row>
    <row r="101" spans="1:18" ht="19.5">
      <c r="A101" s="454"/>
      <c r="B101" s="400"/>
      <c r="C101" s="400"/>
      <c r="D101" s="400"/>
      <c r="E101" s="455"/>
      <c r="F101" s="455"/>
      <c r="G101" s="455"/>
      <c r="H101" s="455"/>
      <c r="I101" s="456"/>
      <c r="J101" s="455"/>
      <c r="K101" s="455"/>
      <c r="L101" s="455"/>
      <c r="M101" s="455"/>
      <c r="N101" s="455"/>
      <c r="O101" s="456"/>
      <c r="P101" s="455"/>
      <c r="Q101" s="455"/>
      <c r="R101" s="455"/>
    </row>
    <row r="102" spans="1:18" ht="19.5">
      <c r="A102" s="447" t="s">
        <v>272</v>
      </c>
      <c r="B102" s="447"/>
      <c r="C102" s="447"/>
      <c r="D102" s="448"/>
      <c r="E102" s="449">
        <f>SUM(E103+E107+E110+E114+E120+E123)</f>
        <v>2247.17</v>
      </c>
      <c r="F102" s="449">
        <f aca="true" t="shared" si="33" ref="F102:R102">SUM(F103+F107+F110+F114+F120+F123)</f>
        <v>0</v>
      </c>
      <c r="G102" s="449">
        <f t="shared" si="33"/>
        <v>18.33</v>
      </c>
      <c r="H102" s="449">
        <f t="shared" si="33"/>
        <v>0</v>
      </c>
      <c r="I102" s="449">
        <f t="shared" si="33"/>
        <v>45.825</v>
      </c>
      <c r="J102" s="449">
        <f t="shared" si="33"/>
        <v>2292.995</v>
      </c>
      <c r="K102" s="449">
        <f t="shared" si="33"/>
        <v>2110.98</v>
      </c>
      <c r="L102" s="449">
        <f t="shared" si="33"/>
        <v>0</v>
      </c>
      <c r="M102" s="449">
        <f t="shared" si="33"/>
        <v>11.92</v>
      </c>
      <c r="N102" s="449">
        <f t="shared" si="33"/>
        <v>0</v>
      </c>
      <c r="O102" s="449">
        <f t="shared" si="33"/>
        <v>29.8</v>
      </c>
      <c r="P102" s="449">
        <f t="shared" si="33"/>
        <v>2140.7799999999997</v>
      </c>
      <c r="Q102" s="449">
        <f t="shared" si="33"/>
        <v>4433.775000000001</v>
      </c>
      <c r="R102" s="449">
        <f t="shared" si="33"/>
        <v>2216.8875000000003</v>
      </c>
    </row>
    <row r="103" spans="1:18" ht="19.5">
      <c r="A103" s="281"/>
      <c r="B103" s="265" t="s">
        <v>263</v>
      </c>
      <c r="C103" s="267"/>
      <c r="D103" s="273"/>
      <c r="E103" s="292">
        <f>SUM(E104:E105)</f>
        <v>538.17</v>
      </c>
      <c r="F103" s="292">
        <f aca="true" t="shared" si="34" ref="F103:R103">SUM(F104:F105)</f>
        <v>0</v>
      </c>
      <c r="G103" s="292">
        <f t="shared" si="34"/>
        <v>1</v>
      </c>
      <c r="H103" s="292">
        <f t="shared" si="34"/>
        <v>0</v>
      </c>
      <c r="I103" s="292">
        <f t="shared" si="34"/>
        <v>2.5</v>
      </c>
      <c r="J103" s="292">
        <f t="shared" si="34"/>
        <v>540.67</v>
      </c>
      <c r="K103" s="292">
        <f t="shared" si="34"/>
        <v>414.81</v>
      </c>
      <c r="L103" s="292">
        <f t="shared" si="34"/>
        <v>0</v>
      </c>
      <c r="M103" s="292">
        <f t="shared" si="34"/>
        <v>0.17</v>
      </c>
      <c r="N103" s="292">
        <f t="shared" si="34"/>
        <v>0</v>
      </c>
      <c r="O103" s="292">
        <f t="shared" si="34"/>
        <v>0.42500000000000004</v>
      </c>
      <c r="P103" s="292">
        <f t="shared" si="34"/>
        <v>415.235</v>
      </c>
      <c r="Q103" s="292">
        <f t="shared" si="34"/>
        <v>955.905</v>
      </c>
      <c r="R103" s="292">
        <f t="shared" si="34"/>
        <v>477.9525</v>
      </c>
    </row>
    <row r="104" spans="1:18" ht="19.5">
      <c r="A104" s="281"/>
      <c r="B104" s="267"/>
      <c r="C104" s="267"/>
      <c r="D104" s="273" t="s">
        <v>216</v>
      </c>
      <c r="E104" s="19">
        <v>447.51</v>
      </c>
      <c r="F104" s="19">
        <v>0</v>
      </c>
      <c r="G104" s="19">
        <v>1</v>
      </c>
      <c r="H104" s="287">
        <v>0</v>
      </c>
      <c r="I104" s="288">
        <f>SUM(F104:H104)*2.5</f>
        <v>2.5</v>
      </c>
      <c r="J104" s="288">
        <f>E104+I104</f>
        <v>450.01</v>
      </c>
      <c r="K104" s="287">
        <v>294.76</v>
      </c>
      <c r="L104" s="287">
        <v>0</v>
      </c>
      <c r="M104" s="287">
        <v>0.17</v>
      </c>
      <c r="N104" s="287">
        <v>0</v>
      </c>
      <c r="O104" s="288">
        <f>SUM(L104:N104)*2.5</f>
        <v>0.42500000000000004</v>
      </c>
      <c r="P104" s="288">
        <f>K104+O104</f>
        <v>295.185</v>
      </c>
      <c r="Q104" s="288">
        <f>J104+P104</f>
        <v>745.1949999999999</v>
      </c>
      <c r="R104" s="288">
        <f>Q104/2</f>
        <v>372.59749999999997</v>
      </c>
    </row>
    <row r="105" spans="1:18" ht="19.5">
      <c r="A105" s="281"/>
      <c r="B105" s="267"/>
      <c r="C105" s="267"/>
      <c r="D105" s="273" t="s">
        <v>217</v>
      </c>
      <c r="E105" s="19">
        <v>90.66</v>
      </c>
      <c r="F105" s="287">
        <v>0</v>
      </c>
      <c r="G105" s="287">
        <v>0</v>
      </c>
      <c r="H105" s="287">
        <v>0</v>
      </c>
      <c r="I105" s="288">
        <f>SUM(F105:H105)*2.5</f>
        <v>0</v>
      </c>
      <c r="J105" s="288">
        <f>E105+I105</f>
        <v>90.66</v>
      </c>
      <c r="K105" s="287">
        <v>120.05</v>
      </c>
      <c r="L105" s="287">
        <v>0</v>
      </c>
      <c r="M105" s="287">
        <v>0</v>
      </c>
      <c r="N105" s="287">
        <v>0</v>
      </c>
      <c r="O105" s="288">
        <f>SUM(L105:N105)*2.5</f>
        <v>0</v>
      </c>
      <c r="P105" s="288">
        <f>K105+O105</f>
        <v>120.05</v>
      </c>
      <c r="Q105" s="288">
        <f>J105+P105</f>
        <v>210.70999999999998</v>
      </c>
      <c r="R105" s="288">
        <f>Q105/2</f>
        <v>105.35499999999999</v>
      </c>
    </row>
    <row r="106" spans="1:18" ht="19.5">
      <c r="A106" s="311"/>
      <c r="B106" s="312"/>
      <c r="C106" s="312"/>
      <c r="D106" s="319" t="s">
        <v>197</v>
      </c>
      <c r="E106" s="314">
        <v>0</v>
      </c>
      <c r="F106" s="315">
        <v>0</v>
      </c>
      <c r="G106" s="23">
        <v>1</v>
      </c>
      <c r="H106" s="315">
        <v>0</v>
      </c>
      <c r="I106" s="316">
        <f>SUM(F106:H106)*2.5</f>
        <v>2.5</v>
      </c>
      <c r="J106" s="316">
        <f>E106+I106</f>
        <v>2.5</v>
      </c>
      <c r="K106" s="315">
        <v>0</v>
      </c>
      <c r="L106" s="315">
        <v>0</v>
      </c>
      <c r="M106" s="315">
        <v>1</v>
      </c>
      <c r="N106" s="315">
        <v>0</v>
      </c>
      <c r="O106" s="316">
        <f>SUM(L106:N106)*2.5</f>
        <v>2.5</v>
      </c>
      <c r="P106" s="316">
        <f>K106+O106</f>
        <v>2.5</v>
      </c>
      <c r="Q106" s="316">
        <f>J106+P106</f>
        <v>5</v>
      </c>
      <c r="R106" s="316">
        <f>Q106/2</f>
        <v>2.5</v>
      </c>
    </row>
    <row r="107" spans="1:18" ht="19.5">
      <c r="A107" s="281"/>
      <c r="B107" s="265" t="s">
        <v>219</v>
      </c>
      <c r="C107" s="267"/>
      <c r="D107" s="273"/>
      <c r="E107" s="289">
        <f>SUM(E108:E109)</f>
        <v>256.04</v>
      </c>
      <c r="F107" s="289">
        <f aca="true" t="shared" si="35" ref="F107:R107">SUM(F108:F109)</f>
        <v>0</v>
      </c>
      <c r="G107" s="289">
        <f t="shared" si="35"/>
        <v>0</v>
      </c>
      <c r="H107" s="289">
        <f t="shared" si="35"/>
        <v>0</v>
      </c>
      <c r="I107" s="289">
        <f t="shared" si="35"/>
        <v>0</v>
      </c>
      <c r="J107" s="289">
        <f t="shared" si="35"/>
        <v>256.04</v>
      </c>
      <c r="K107" s="289">
        <f t="shared" si="35"/>
        <v>271.93</v>
      </c>
      <c r="L107" s="289">
        <f t="shared" si="35"/>
        <v>0</v>
      </c>
      <c r="M107" s="289">
        <f t="shared" si="35"/>
        <v>0</v>
      </c>
      <c r="N107" s="289">
        <f t="shared" si="35"/>
        <v>0</v>
      </c>
      <c r="O107" s="289">
        <f t="shared" si="35"/>
        <v>0</v>
      </c>
      <c r="P107" s="289">
        <f t="shared" si="35"/>
        <v>271.93</v>
      </c>
      <c r="Q107" s="289">
        <f t="shared" si="35"/>
        <v>527.97</v>
      </c>
      <c r="R107" s="289">
        <f t="shared" si="35"/>
        <v>263.985</v>
      </c>
    </row>
    <row r="108" spans="1:18" ht="19.5">
      <c r="A108" s="281"/>
      <c r="B108" s="267"/>
      <c r="C108" s="267"/>
      <c r="D108" s="273" t="s">
        <v>222</v>
      </c>
      <c r="E108" s="19">
        <v>159.87</v>
      </c>
      <c r="F108" s="287">
        <v>0</v>
      </c>
      <c r="G108" s="287">
        <v>0</v>
      </c>
      <c r="H108" s="287">
        <v>0</v>
      </c>
      <c r="I108" s="288">
        <f>SUM(F108:H108)*2.5</f>
        <v>0</v>
      </c>
      <c r="J108" s="288">
        <f>E108+I108</f>
        <v>159.87</v>
      </c>
      <c r="K108" s="287">
        <v>199.27</v>
      </c>
      <c r="L108" s="287">
        <v>0</v>
      </c>
      <c r="M108" s="287">
        <v>0</v>
      </c>
      <c r="N108" s="287">
        <v>0</v>
      </c>
      <c r="O108" s="288">
        <f>SUM(L108:N108)*2.5</f>
        <v>0</v>
      </c>
      <c r="P108" s="288">
        <f>K108+O108</f>
        <v>199.27</v>
      </c>
      <c r="Q108" s="288">
        <f>J108+P108</f>
        <v>359.14</v>
      </c>
      <c r="R108" s="288">
        <f>Q108/2</f>
        <v>179.57</v>
      </c>
    </row>
    <row r="109" spans="1:18" ht="19.5">
      <c r="A109" s="281"/>
      <c r="B109" s="267"/>
      <c r="C109" s="267"/>
      <c r="D109" s="273" t="s">
        <v>223</v>
      </c>
      <c r="E109" s="19">
        <v>96.17</v>
      </c>
      <c r="F109" s="287">
        <v>0</v>
      </c>
      <c r="G109" s="287">
        <v>0</v>
      </c>
      <c r="H109" s="287">
        <v>0</v>
      </c>
      <c r="I109" s="288">
        <f>SUM(F109:H109)*2.5</f>
        <v>0</v>
      </c>
      <c r="J109" s="288">
        <f>E109+I109</f>
        <v>96.17</v>
      </c>
      <c r="K109" s="287">
        <v>72.66</v>
      </c>
      <c r="L109" s="287">
        <v>0</v>
      </c>
      <c r="M109" s="287">
        <v>0</v>
      </c>
      <c r="N109" s="287">
        <v>0</v>
      </c>
      <c r="O109" s="288">
        <f>SUM(L109:N109)*2.5</f>
        <v>0</v>
      </c>
      <c r="P109" s="288">
        <f>K109+O109</f>
        <v>72.66</v>
      </c>
      <c r="Q109" s="288">
        <f>J109+P109</f>
        <v>168.82999999999998</v>
      </c>
      <c r="R109" s="288">
        <f>Q109/2</f>
        <v>84.41499999999999</v>
      </c>
    </row>
    <row r="110" spans="1:18" ht="19.5">
      <c r="A110" s="281"/>
      <c r="B110" s="265" t="s">
        <v>218</v>
      </c>
      <c r="C110" s="267"/>
      <c r="D110" s="273"/>
      <c r="E110" s="292">
        <f>SUM(E111:E112)</f>
        <v>243.45</v>
      </c>
      <c r="F110" s="292">
        <f aca="true" t="shared" si="36" ref="F110:R110">SUM(F111:F112)</f>
        <v>0</v>
      </c>
      <c r="G110" s="292">
        <f>SUM(G111:G112)</f>
        <v>8.42</v>
      </c>
      <c r="H110" s="292">
        <f t="shared" si="36"/>
        <v>0</v>
      </c>
      <c r="I110" s="292">
        <f>SUM(I111:I112)</f>
        <v>21.05</v>
      </c>
      <c r="J110" s="292">
        <f t="shared" si="36"/>
        <v>264.5</v>
      </c>
      <c r="K110" s="292">
        <f t="shared" si="36"/>
        <v>242.93</v>
      </c>
      <c r="L110" s="292">
        <f t="shared" si="36"/>
        <v>0</v>
      </c>
      <c r="M110" s="292">
        <f t="shared" si="36"/>
        <v>4.08</v>
      </c>
      <c r="N110" s="292">
        <f t="shared" si="36"/>
        <v>0</v>
      </c>
      <c r="O110" s="292">
        <f t="shared" si="36"/>
        <v>10.2</v>
      </c>
      <c r="P110" s="292">
        <f t="shared" si="36"/>
        <v>253.13</v>
      </c>
      <c r="Q110" s="292">
        <f t="shared" si="36"/>
        <v>517.63</v>
      </c>
      <c r="R110" s="292">
        <f t="shared" si="36"/>
        <v>258.815</v>
      </c>
    </row>
    <row r="111" spans="1:18" ht="19.5">
      <c r="A111" s="281"/>
      <c r="B111" s="267"/>
      <c r="C111" s="267"/>
      <c r="D111" s="273" t="s">
        <v>220</v>
      </c>
      <c r="E111" s="19">
        <v>238</v>
      </c>
      <c r="F111" s="19">
        <v>0</v>
      </c>
      <c r="G111" s="19">
        <v>8.42</v>
      </c>
      <c r="H111" s="287"/>
      <c r="I111" s="288">
        <f>SUM(F111:H111)*2.5</f>
        <v>21.05</v>
      </c>
      <c r="J111" s="288">
        <f>E111+I111</f>
        <v>259.05</v>
      </c>
      <c r="K111" s="287">
        <v>237.65</v>
      </c>
      <c r="L111" s="287">
        <v>0</v>
      </c>
      <c r="M111" s="287">
        <v>4.08</v>
      </c>
      <c r="N111" s="287">
        <v>0</v>
      </c>
      <c r="O111" s="288">
        <f>SUM(L111:N111)*2.5</f>
        <v>10.2</v>
      </c>
      <c r="P111" s="288">
        <f>K111+O111</f>
        <v>247.85</v>
      </c>
      <c r="Q111" s="288">
        <f>J111+P111</f>
        <v>506.9</v>
      </c>
      <c r="R111" s="288">
        <f>Q111/2</f>
        <v>253.45</v>
      </c>
    </row>
    <row r="112" spans="1:18" ht="19.5">
      <c r="A112" s="281"/>
      <c r="B112" s="267"/>
      <c r="C112" s="267"/>
      <c r="D112" s="273" t="s">
        <v>221</v>
      </c>
      <c r="E112" s="19">
        <v>5.45</v>
      </c>
      <c r="F112" s="287">
        <v>0</v>
      </c>
      <c r="G112" s="287">
        <v>0</v>
      </c>
      <c r="H112" s="287">
        <v>0</v>
      </c>
      <c r="I112" s="288">
        <f>SUM(F112:H112)*2.5</f>
        <v>0</v>
      </c>
      <c r="J112" s="288">
        <f>E112+I112</f>
        <v>5.45</v>
      </c>
      <c r="K112" s="287">
        <v>5.28</v>
      </c>
      <c r="L112" s="287">
        <v>0</v>
      </c>
      <c r="M112" s="287">
        <v>0</v>
      </c>
      <c r="N112" s="287">
        <v>0</v>
      </c>
      <c r="O112" s="288">
        <f>SUM(L112:N112)*2.5</f>
        <v>0</v>
      </c>
      <c r="P112" s="288">
        <f>K112+O112</f>
        <v>5.28</v>
      </c>
      <c r="Q112" s="288">
        <f>J112+P112</f>
        <v>10.73</v>
      </c>
      <c r="R112" s="288">
        <f>Q112/2</f>
        <v>5.365</v>
      </c>
    </row>
    <row r="113" spans="1:18" ht="19.5">
      <c r="A113" s="311"/>
      <c r="B113" s="312"/>
      <c r="C113" s="312"/>
      <c r="D113" s="319" t="s">
        <v>197</v>
      </c>
      <c r="E113" s="314">
        <v>0</v>
      </c>
      <c r="F113" s="315">
        <v>0</v>
      </c>
      <c r="G113" s="23">
        <v>4.5</v>
      </c>
      <c r="H113" s="315"/>
      <c r="I113" s="316">
        <f>SUM(F113:H113)*2.5</f>
        <v>11.25</v>
      </c>
      <c r="J113" s="316">
        <f>E113+I113</f>
        <v>11.25</v>
      </c>
      <c r="K113" s="315">
        <v>0</v>
      </c>
      <c r="L113" s="315">
        <v>0</v>
      </c>
      <c r="M113" s="315">
        <v>2.5</v>
      </c>
      <c r="N113" s="315"/>
      <c r="O113" s="316">
        <f>SUM(L113:N113)*2.5</f>
        <v>6.25</v>
      </c>
      <c r="P113" s="316">
        <f>K113+O113</f>
        <v>6.25</v>
      </c>
      <c r="Q113" s="316">
        <f>J113+P113</f>
        <v>17.5</v>
      </c>
      <c r="R113" s="316">
        <f>Q113/2</f>
        <v>8.75</v>
      </c>
    </row>
    <row r="114" spans="1:18" ht="19.5">
      <c r="A114" s="281"/>
      <c r="B114" s="265" t="s">
        <v>178</v>
      </c>
      <c r="C114" s="267"/>
      <c r="D114" s="273"/>
      <c r="E114" s="292">
        <f>SUM(E115+E117+E118)</f>
        <v>422.51</v>
      </c>
      <c r="F114" s="292">
        <f aca="true" t="shared" si="37" ref="F114:R114">SUM(F115+F117+F118)</f>
        <v>0</v>
      </c>
      <c r="G114" s="292">
        <f t="shared" si="37"/>
        <v>5.83</v>
      </c>
      <c r="H114" s="292">
        <f t="shared" si="37"/>
        <v>0</v>
      </c>
      <c r="I114" s="292">
        <f t="shared" si="37"/>
        <v>14.575</v>
      </c>
      <c r="J114" s="292">
        <f t="shared" si="37"/>
        <v>437.085</v>
      </c>
      <c r="K114" s="292">
        <f t="shared" si="37"/>
        <v>354.60999999999996</v>
      </c>
      <c r="L114" s="292">
        <f t="shared" si="37"/>
        <v>0</v>
      </c>
      <c r="M114" s="292">
        <f t="shared" si="37"/>
        <v>6.17</v>
      </c>
      <c r="N114" s="292">
        <f t="shared" si="37"/>
        <v>0</v>
      </c>
      <c r="O114" s="292">
        <f t="shared" si="37"/>
        <v>15.425</v>
      </c>
      <c r="P114" s="292">
        <f t="shared" si="37"/>
        <v>370.03499999999997</v>
      </c>
      <c r="Q114" s="292">
        <f t="shared" si="37"/>
        <v>807.12</v>
      </c>
      <c r="R114" s="292">
        <f t="shared" si="37"/>
        <v>403.56</v>
      </c>
    </row>
    <row r="115" spans="1:18" ht="19.5">
      <c r="A115" s="281"/>
      <c r="B115" s="267"/>
      <c r="C115" s="267"/>
      <c r="D115" s="273" t="s">
        <v>224</v>
      </c>
      <c r="E115" s="19">
        <v>408.96</v>
      </c>
      <c r="F115" s="19">
        <v>0</v>
      </c>
      <c r="G115" s="19">
        <v>0.75</v>
      </c>
      <c r="H115" s="287">
        <v>0</v>
      </c>
      <c r="I115" s="288">
        <f>SUM(F115:H115)*2.5</f>
        <v>1.875</v>
      </c>
      <c r="J115" s="288">
        <f>E115+I115</f>
        <v>410.835</v>
      </c>
      <c r="K115" s="287">
        <v>338.65</v>
      </c>
      <c r="L115" s="287">
        <v>0</v>
      </c>
      <c r="M115" s="287">
        <f>0.42+2</f>
        <v>2.42</v>
      </c>
      <c r="N115" s="287">
        <v>0</v>
      </c>
      <c r="O115" s="288">
        <f>SUM(L115:N115)*2.5</f>
        <v>6.05</v>
      </c>
      <c r="P115" s="288">
        <f>K115+O115</f>
        <v>344.7</v>
      </c>
      <c r="Q115" s="288">
        <f>J115+P115</f>
        <v>755.535</v>
      </c>
      <c r="R115" s="288">
        <f>Q115/2</f>
        <v>377.7675</v>
      </c>
    </row>
    <row r="116" spans="1:18" ht="19.5">
      <c r="A116" s="311"/>
      <c r="B116" s="312"/>
      <c r="C116" s="312"/>
      <c r="D116" s="319" t="s">
        <v>197</v>
      </c>
      <c r="E116" s="314">
        <v>0</v>
      </c>
      <c r="F116" s="315">
        <v>0</v>
      </c>
      <c r="G116" s="23">
        <v>0.5</v>
      </c>
      <c r="H116" s="315">
        <v>0</v>
      </c>
      <c r="I116" s="316">
        <f>SUM(F116:H116)*2.5</f>
        <v>1.25</v>
      </c>
      <c r="J116" s="316">
        <f>E116+I116</f>
        <v>1.25</v>
      </c>
      <c r="K116" s="315">
        <v>0</v>
      </c>
      <c r="L116" s="315">
        <v>0</v>
      </c>
      <c r="M116" s="315">
        <f>0.5+1.5</f>
        <v>2</v>
      </c>
      <c r="N116" s="315">
        <v>0</v>
      </c>
      <c r="O116" s="316">
        <f>SUM(L116:N116)*2.5</f>
        <v>5</v>
      </c>
      <c r="P116" s="316">
        <f>K116+O116</f>
        <v>5</v>
      </c>
      <c r="Q116" s="316">
        <f>J116+P116</f>
        <v>6.25</v>
      </c>
      <c r="R116" s="316">
        <f>Q116/2</f>
        <v>3.125</v>
      </c>
    </row>
    <row r="117" spans="1:18" ht="19.5">
      <c r="A117" s="281"/>
      <c r="B117" s="267"/>
      <c r="C117" s="267"/>
      <c r="D117" s="273" t="s">
        <v>225</v>
      </c>
      <c r="E117" s="289">
        <v>0</v>
      </c>
      <c r="F117" s="287">
        <v>0</v>
      </c>
      <c r="G117" s="251">
        <v>5.08</v>
      </c>
      <c r="H117" s="287">
        <v>0</v>
      </c>
      <c r="I117" s="288">
        <f>SUM(F117:H117)*2.5</f>
        <v>12.7</v>
      </c>
      <c r="J117" s="288">
        <f>E117+I117</f>
        <v>12.7</v>
      </c>
      <c r="K117" s="287">
        <v>0</v>
      </c>
      <c r="L117" s="287">
        <v>0</v>
      </c>
      <c r="M117" s="287">
        <v>3.75</v>
      </c>
      <c r="N117" s="287">
        <v>0</v>
      </c>
      <c r="O117" s="288">
        <f>SUM(L117:N117)*2.5</f>
        <v>9.375</v>
      </c>
      <c r="P117" s="288">
        <f>K117+O117</f>
        <v>9.375</v>
      </c>
      <c r="Q117" s="288">
        <f>J117+P117</f>
        <v>22.075</v>
      </c>
      <c r="R117" s="288">
        <f>Q117/2</f>
        <v>11.0375</v>
      </c>
    </row>
    <row r="118" spans="1:18" ht="19.5">
      <c r="A118" s="281"/>
      <c r="B118" s="267"/>
      <c r="C118" s="267"/>
      <c r="D118" s="273" t="s">
        <v>226</v>
      </c>
      <c r="E118" s="19">
        <v>13.55</v>
      </c>
      <c r="F118" s="287">
        <v>0</v>
      </c>
      <c r="G118" s="287">
        <v>0</v>
      </c>
      <c r="H118" s="287">
        <v>0</v>
      </c>
      <c r="I118" s="288">
        <f>SUM(F118:H118)*2.5</f>
        <v>0</v>
      </c>
      <c r="J118" s="288">
        <f>E118+I118</f>
        <v>13.55</v>
      </c>
      <c r="K118" s="287">
        <v>15.96</v>
      </c>
      <c r="L118" s="287">
        <v>0</v>
      </c>
      <c r="M118" s="287">
        <v>0</v>
      </c>
      <c r="N118" s="287">
        <v>0</v>
      </c>
      <c r="O118" s="288">
        <f>SUM(L118:N118)*2.5</f>
        <v>0</v>
      </c>
      <c r="P118" s="288">
        <f>K118+O118</f>
        <v>15.96</v>
      </c>
      <c r="Q118" s="288">
        <f>J118+P118</f>
        <v>29.51</v>
      </c>
      <c r="R118" s="288">
        <f>Q118/2</f>
        <v>14.755</v>
      </c>
    </row>
    <row r="119" spans="1:18" ht="19.5">
      <c r="A119" s="311"/>
      <c r="B119" s="312"/>
      <c r="C119" s="312"/>
      <c r="D119" s="319" t="s">
        <v>197</v>
      </c>
      <c r="E119" s="314">
        <v>0</v>
      </c>
      <c r="F119" s="315">
        <v>0</v>
      </c>
      <c r="G119" s="315">
        <v>0</v>
      </c>
      <c r="H119" s="315">
        <v>0</v>
      </c>
      <c r="I119" s="316">
        <f>SUM(F119:H119)*2.5</f>
        <v>0</v>
      </c>
      <c r="J119" s="316">
        <f>E119+I119</f>
        <v>0</v>
      </c>
      <c r="K119" s="315">
        <v>0</v>
      </c>
      <c r="L119" s="315">
        <v>0</v>
      </c>
      <c r="M119" s="315">
        <v>1.33</v>
      </c>
      <c r="N119" s="315">
        <v>0</v>
      </c>
      <c r="O119" s="316">
        <f>SUM(L119:N119)*2.5</f>
        <v>3.325</v>
      </c>
      <c r="P119" s="316">
        <f>K119+O119</f>
        <v>3.325</v>
      </c>
      <c r="Q119" s="316">
        <f>J119+P119</f>
        <v>3.325</v>
      </c>
      <c r="R119" s="316">
        <f>Q119/2</f>
        <v>1.6625</v>
      </c>
    </row>
    <row r="120" spans="1:18" ht="19.5">
      <c r="A120" s="281"/>
      <c r="B120" s="265" t="s">
        <v>227</v>
      </c>
      <c r="C120" s="267"/>
      <c r="D120" s="273"/>
      <c r="E120" s="292">
        <f>SUM(E121)</f>
        <v>512.11</v>
      </c>
      <c r="F120" s="292">
        <f aca="true" t="shared" si="38" ref="F120:R120">SUM(F121)</f>
        <v>0</v>
      </c>
      <c r="G120" s="292">
        <f t="shared" si="38"/>
        <v>3.08</v>
      </c>
      <c r="H120" s="292">
        <f t="shared" si="38"/>
        <v>0</v>
      </c>
      <c r="I120" s="292">
        <f t="shared" si="38"/>
        <v>7.7</v>
      </c>
      <c r="J120" s="292">
        <f t="shared" si="38"/>
        <v>519.8100000000001</v>
      </c>
      <c r="K120" s="292">
        <f t="shared" si="38"/>
        <v>399.54</v>
      </c>
      <c r="L120" s="292">
        <f t="shared" si="38"/>
        <v>0</v>
      </c>
      <c r="M120" s="292">
        <f t="shared" si="38"/>
        <v>1.5</v>
      </c>
      <c r="N120" s="292">
        <f t="shared" si="38"/>
        <v>0</v>
      </c>
      <c r="O120" s="292">
        <f t="shared" si="38"/>
        <v>3.75</v>
      </c>
      <c r="P120" s="292">
        <f t="shared" si="38"/>
        <v>403.29</v>
      </c>
      <c r="Q120" s="292">
        <f t="shared" si="38"/>
        <v>923.1000000000001</v>
      </c>
      <c r="R120" s="292">
        <f t="shared" si="38"/>
        <v>461.55000000000007</v>
      </c>
    </row>
    <row r="121" spans="1:18" ht="19.5">
      <c r="A121" s="281"/>
      <c r="B121" s="267"/>
      <c r="C121" s="267"/>
      <c r="D121" s="273" t="s">
        <v>228</v>
      </c>
      <c r="E121" s="19">
        <v>512.11</v>
      </c>
      <c r="F121" s="19">
        <v>0</v>
      </c>
      <c r="G121" s="19">
        <v>3.08</v>
      </c>
      <c r="H121" s="287"/>
      <c r="I121" s="288">
        <f>SUM(F121:H121)*2.5</f>
        <v>7.7</v>
      </c>
      <c r="J121" s="288">
        <f>E121+I121</f>
        <v>519.8100000000001</v>
      </c>
      <c r="K121" s="287">
        <v>399.54</v>
      </c>
      <c r="L121" s="287">
        <v>0</v>
      </c>
      <c r="M121" s="287">
        <v>1.5</v>
      </c>
      <c r="N121" s="287">
        <v>0</v>
      </c>
      <c r="O121" s="288">
        <f>SUM(L121:N121)*2.5</f>
        <v>3.75</v>
      </c>
      <c r="P121" s="288">
        <f>K121+O121</f>
        <v>403.29</v>
      </c>
      <c r="Q121" s="288">
        <f>J121+P121</f>
        <v>923.1000000000001</v>
      </c>
      <c r="R121" s="288">
        <f>Q121/2</f>
        <v>461.55000000000007</v>
      </c>
    </row>
    <row r="122" spans="1:18" ht="19.5">
      <c r="A122" s="311"/>
      <c r="B122" s="312"/>
      <c r="C122" s="312"/>
      <c r="D122" s="319" t="s">
        <v>197</v>
      </c>
      <c r="E122" s="314"/>
      <c r="F122" s="315"/>
      <c r="G122" s="23">
        <v>3.25</v>
      </c>
      <c r="H122" s="315"/>
      <c r="I122" s="316">
        <f>SUM(F122:H122)*2.5</f>
        <v>8.125</v>
      </c>
      <c r="J122" s="316">
        <f>E122+I122</f>
        <v>8.125</v>
      </c>
      <c r="K122" s="315">
        <v>0</v>
      </c>
      <c r="L122" s="315">
        <v>0</v>
      </c>
      <c r="M122" s="315">
        <v>3.33</v>
      </c>
      <c r="N122" s="315">
        <v>0</v>
      </c>
      <c r="O122" s="316">
        <f>SUM(L122:N122)*2.5</f>
        <v>8.325</v>
      </c>
      <c r="P122" s="316">
        <f>K122+O122</f>
        <v>8.325</v>
      </c>
      <c r="Q122" s="316">
        <f>J122+P122</f>
        <v>16.45</v>
      </c>
      <c r="R122" s="316">
        <f>Q122/2</f>
        <v>8.225</v>
      </c>
    </row>
    <row r="123" spans="1:18" ht="19.5">
      <c r="A123" s="281"/>
      <c r="B123" s="265" t="s">
        <v>229</v>
      </c>
      <c r="C123" s="267"/>
      <c r="D123" s="273"/>
      <c r="E123" s="289">
        <f>SUM(E124:E125)</f>
        <v>274.89</v>
      </c>
      <c r="F123" s="289">
        <f aca="true" t="shared" si="39" ref="F123:R123">SUM(F124:F125)</f>
        <v>0</v>
      </c>
      <c r="G123" s="289">
        <f t="shared" si="39"/>
        <v>0</v>
      </c>
      <c r="H123" s="289">
        <f t="shared" si="39"/>
        <v>0</v>
      </c>
      <c r="I123" s="289">
        <f t="shared" si="39"/>
        <v>0</v>
      </c>
      <c r="J123" s="289">
        <f t="shared" si="39"/>
        <v>274.89</v>
      </c>
      <c r="K123" s="289">
        <f t="shared" si="39"/>
        <v>427.15999999999997</v>
      </c>
      <c r="L123" s="289">
        <f t="shared" si="39"/>
        <v>0</v>
      </c>
      <c r="M123" s="289">
        <f t="shared" si="39"/>
        <v>0</v>
      </c>
      <c r="N123" s="289">
        <f t="shared" si="39"/>
        <v>0</v>
      </c>
      <c r="O123" s="289">
        <f t="shared" si="39"/>
        <v>0</v>
      </c>
      <c r="P123" s="289">
        <f t="shared" si="39"/>
        <v>427.15999999999997</v>
      </c>
      <c r="Q123" s="289">
        <f t="shared" si="39"/>
        <v>702.05</v>
      </c>
      <c r="R123" s="289">
        <f t="shared" si="39"/>
        <v>351.025</v>
      </c>
    </row>
    <row r="124" spans="1:18" ht="19.5">
      <c r="A124" s="281"/>
      <c r="B124" s="267"/>
      <c r="C124" s="267"/>
      <c r="D124" s="273" t="s">
        <v>230</v>
      </c>
      <c r="E124" s="19">
        <v>25.68</v>
      </c>
      <c r="F124" s="287">
        <v>0</v>
      </c>
      <c r="G124" s="287">
        <v>0</v>
      </c>
      <c r="H124" s="287">
        <v>0</v>
      </c>
      <c r="I124" s="288">
        <f>SUM(F124:H124)*2.5</f>
        <v>0</v>
      </c>
      <c r="J124" s="288">
        <f>E124+I124</f>
        <v>25.68</v>
      </c>
      <c r="K124" s="287">
        <f>43.45+15.02</f>
        <v>58.47</v>
      </c>
      <c r="L124" s="287">
        <v>0</v>
      </c>
      <c r="M124" s="287">
        <v>0</v>
      </c>
      <c r="N124" s="287">
        <v>0</v>
      </c>
      <c r="O124" s="288">
        <f>SUM(L124:N124)*2.5</f>
        <v>0</v>
      </c>
      <c r="P124" s="288">
        <f>K124+O124</f>
        <v>58.47</v>
      </c>
      <c r="Q124" s="288">
        <f>J124+P124</f>
        <v>84.15</v>
      </c>
      <c r="R124" s="288">
        <f>Q124/2</f>
        <v>42.075</v>
      </c>
    </row>
    <row r="125" spans="1:18" ht="19.5">
      <c r="A125" s="285"/>
      <c r="B125" s="275"/>
      <c r="C125" s="275"/>
      <c r="D125" s="276" t="s">
        <v>231</v>
      </c>
      <c r="E125" s="37">
        <v>249.21</v>
      </c>
      <c r="F125" s="303">
        <v>0</v>
      </c>
      <c r="G125" s="303">
        <v>0</v>
      </c>
      <c r="H125" s="303">
        <v>0</v>
      </c>
      <c r="I125" s="304">
        <f>SUM(F125:H125)*2.5</f>
        <v>0</v>
      </c>
      <c r="J125" s="304">
        <f>E125+I125</f>
        <v>249.21</v>
      </c>
      <c r="K125" s="303">
        <v>368.69</v>
      </c>
      <c r="L125" s="303">
        <v>0</v>
      </c>
      <c r="M125" s="303">
        <v>0</v>
      </c>
      <c r="N125" s="303">
        <v>0</v>
      </c>
      <c r="O125" s="304">
        <f>SUM(L125:N125)*2.5</f>
        <v>0</v>
      </c>
      <c r="P125" s="304">
        <f>K125+O125</f>
        <v>368.69</v>
      </c>
      <c r="Q125" s="304">
        <f>J125+P125</f>
        <v>617.9</v>
      </c>
      <c r="R125" s="304">
        <f>Q125/2</f>
        <v>308.95</v>
      </c>
    </row>
    <row r="126" spans="1:18" ht="19.5">
      <c r="A126" s="447" t="s">
        <v>273</v>
      </c>
      <c r="B126" s="447"/>
      <c r="C126" s="447"/>
      <c r="D126" s="448"/>
      <c r="E126" s="449">
        <f>SUM(E127+E130+E131)</f>
        <v>655.22</v>
      </c>
      <c r="F126" s="449">
        <f aca="true" t="shared" si="40" ref="F126:R126">SUM(F127+F130+F131)</f>
        <v>0</v>
      </c>
      <c r="G126" s="449">
        <f t="shared" si="40"/>
        <v>0</v>
      </c>
      <c r="H126" s="449">
        <f t="shared" si="40"/>
        <v>0</v>
      </c>
      <c r="I126" s="449">
        <f t="shared" si="40"/>
        <v>0</v>
      </c>
      <c r="J126" s="449">
        <f t="shared" si="40"/>
        <v>655.22</v>
      </c>
      <c r="K126" s="449">
        <f t="shared" si="40"/>
        <v>731.8000000000001</v>
      </c>
      <c r="L126" s="449">
        <f t="shared" si="40"/>
        <v>0</v>
      </c>
      <c r="M126" s="449">
        <f t="shared" si="40"/>
        <v>0</v>
      </c>
      <c r="N126" s="449">
        <f t="shared" si="40"/>
        <v>0</v>
      </c>
      <c r="O126" s="449">
        <f t="shared" si="40"/>
        <v>0</v>
      </c>
      <c r="P126" s="449">
        <f t="shared" si="40"/>
        <v>731.8000000000001</v>
      </c>
      <c r="Q126" s="449">
        <f t="shared" si="40"/>
        <v>1387.02</v>
      </c>
      <c r="R126" s="449">
        <f t="shared" si="40"/>
        <v>693.51</v>
      </c>
    </row>
    <row r="127" spans="1:18" ht="19.5">
      <c r="A127" s="281"/>
      <c r="B127" s="265" t="s">
        <v>234</v>
      </c>
      <c r="C127" s="267"/>
      <c r="D127" s="273"/>
      <c r="E127" s="289">
        <f>SUM(E128:E129)</f>
        <v>487.67</v>
      </c>
      <c r="F127" s="289">
        <f aca="true" t="shared" si="41" ref="F127:R127">SUM(F128:F129)</f>
        <v>0</v>
      </c>
      <c r="G127" s="289">
        <f t="shared" si="41"/>
        <v>0</v>
      </c>
      <c r="H127" s="289">
        <f t="shared" si="41"/>
        <v>0</v>
      </c>
      <c r="I127" s="289">
        <f t="shared" si="41"/>
        <v>0</v>
      </c>
      <c r="J127" s="289">
        <f t="shared" si="41"/>
        <v>487.67</v>
      </c>
      <c r="K127" s="289">
        <f t="shared" si="41"/>
        <v>627.94</v>
      </c>
      <c r="L127" s="289">
        <f t="shared" si="41"/>
        <v>0</v>
      </c>
      <c r="M127" s="289">
        <f t="shared" si="41"/>
        <v>0</v>
      </c>
      <c r="N127" s="289">
        <f t="shared" si="41"/>
        <v>0</v>
      </c>
      <c r="O127" s="289">
        <f t="shared" si="41"/>
        <v>0</v>
      </c>
      <c r="P127" s="289">
        <f t="shared" si="41"/>
        <v>627.94</v>
      </c>
      <c r="Q127" s="289">
        <f t="shared" si="41"/>
        <v>1115.6100000000001</v>
      </c>
      <c r="R127" s="289">
        <f t="shared" si="41"/>
        <v>557.8050000000001</v>
      </c>
    </row>
    <row r="128" spans="1:18" ht="19.5">
      <c r="A128" s="267"/>
      <c r="B128" s="267"/>
      <c r="C128" s="267"/>
      <c r="D128" s="273" t="s">
        <v>232</v>
      </c>
      <c r="E128" s="251">
        <v>487.67</v>
      </c>
      <c r="F128" s="287">
        <v>0</v>
      </c>
      <c r="G128" s="287">
        <v>0</v>
      </c>
      <c r="H128" s="287">
        <v>0</v>
      </c>
      <c r="I128" s="288">
        <f>SUM(F128:H128)*2.5</f>
        <v>0</v>
      </c>
      <c r="J128" s="288">
        <f>E128+I128</f>
        <v>487.67</v>
      </c>
      <c r="K128" s="287">
        <v>627.94</v>
      </c>
      <c r="L128" s="287">
        <v>0</v>
      </c>
      <c r="M128" s="287">
        <v>0</v>
      </c>
      <c r="N128" s="287">
        <v>0</v>
      </c>
      <c r="O128" s="288">
        <f>SUM(L128:N128)*2.5</f>
        <v>0</v>
      </c>
      <c r="P128" s="288">
        <f>K128+O128</f>
        <v>627.94</v>
      </c>
      <c r="Q128" s="288">
        <f>J128+P128</f>
        <v>1115.6100000000001</v>
      </c>
      <c r="R128" s="288">
        <f>Q128/2</f>
        <v>557.8050000000001</v>
      </c>
    </row>
    <row r="129" spans="1:18" ht="19.5">
      <c r="A129" s="267"/>
      <c r="B129" s="267"/>
      <c r="C129" s="267"/>
      <c r="D129" s="273" t="s">
        <v>233</v>
      </c>
      <c r="E129" s="289">
        <v>0</v>
      </c>
      <c r="F129" s="287">
        <v>0</v>
      </c>
      <c r="G129" s="287">
        <v>0</v>
      </c>
      <c r="H129" s="287">
        <v>0</v>
      </c>
      <c r="I129" s="288">
        <f>SUM(F129:H129)*2.5</f>
        <v>0</v>
      </c>
      <c r="J129" s="288">
        <f>E129+I129</f>
        <v>0</v>
      </c>
      <c r="K129" s="287">
        <v>0</v>
      </c>
      <c r="L129" s="287">
        <v>0</v>
      </c>
      <c r="M129" s="287">
        <v>0</v>
      </c>
      <c r="N129" s="287">
        <v>0</v>
      </c>
      <c r="O129" s="288">
        <f>SUM(L129:N129)*2.5</f>
        <v>0</v>
      </c>
      <c r="P129" s="288">
        <f>K129+O129</f>
        <v>0</v>
      </c>
      <c r="Q129" s="288">
        <f>J129+P129</f>
        <v>0</v>
      </c>
      <c r="R129" s="288">
        <f>Q129/2</f>
        <v>0</v>
      </c>
    </row>
    <row r="130" spans="1:18" ht="19.5">
      <c r="A130" s="281"/>
      <c r="B130" s="265" t="s">
        <v>235</v>
      </c>
      <c r="C130" s="267"/>
      <c r="D130" s="273"/>
      <c r="E130" s="251">
        <v>72.99</v>
      </c>
      <c r="F130" s="287">
        <v>0</v>
      </c>
      <c r="G130" s="287">
        <v>0</v>
      </c>
      <c r="H130" s="287">
        <v>0</v>
      </c>
      <c r="I130" s="288">
        <f>SUM(F130:H130)*2.5</f>
        <v>0</v>
      </c>
      <c r="J130" s="288">
        <f>E130+I130</f>
        <v>72.99</v>
      </c>
      <c r="K130" s="287">
        <v>62.32</v>
      </c>
      <c r="L130" s="287">
        <v>0</v>
      </c>
      <c r="M130" s="287">
        <v>0</v>
      </c>
      <c r="N130" s="287">
        <v>0</v>
      </c>
      <c r="O130" s="288">
        <f>SUM(L130:N130)*2.5</f>
        <v>0</v>
      </c>
      <c r="P130" s="288">
        <f>K130+O130</f>
        <v>62.32</v>
      </c>
      <c r="Q130" s="288">
        <f>J130+P130</f>
        <v>135.31</v>
      </c>
      <c r="R130" s="288">
        <f>Q130/2</f>
        <v>67.655</v>
      </c>
    </row>
    <row r="131" spans="1:18" ht="19.5">
      <c r="A131" s="281"/>
      <c r="B131" s="265" t="s">
        <v>236</v>
      </c>
      <c r="C131" s="267"/>
      <c r="D131" s="273"/>
      <c r="E131" s="251">
        <v>94.56</v>
      </c>
      <c r="F131" s="287">
        <v>0</v>
      </c>
      <c r="G131" s="287">
        <v>0</v>
      </c>
      <c r="H131" s="287">
        <v>0</v>
      </c>
      <c r="I131" s="288">
        <f>SUM(F131:H131)*2.5</f>
        <v>0</v>
      </c>
      <c r="J131" s="288">
        <f>E131+I131</f>
        <v>94.56</v>
      </c>
      <c r="K131" s="287">
        <v>41.54</v>
      </c>
      <c r="L131" s="287">
        <v>0</v>
      </c>
      <c r="M131" s="287">
        <v>0</v>
      </c>
      <c r="N131" s="287">
        <v>0</v>
      </c>
      <c r="O131" s="288">
        <f>SUM(L131:N131)*2.5</f>
        <v>0</v>
      </c>
      <c r="P131" s="288">
        <f>K131+O131</f>
        <v>41.54</v>
      </c>
      <c r="Q131" s="288">
        <f>J131+P131</f>
        <v>136.1</v>
      </c>
      <c r="R131" s="288">
        <f>Q131/2</f>
        <v>68.05</v>
      </c>
    </row>
    <row r="132" spans="1:18" ht="19.5">
      <c r="A132" s="279" t="s">
        <v>274</v>
      </c>
      <c r="B132" s="279"/>
      <c r="C132" s="279"/>
      <c r="D132" s="280"/>
      <c r="E132" s="300">
        <f>SUM(E133+E137)</f>
        <v>194.24</v>
      </c>
      <c r="F132" s="300">
        <f aca="true" t="shared" si="42" ref="F132:R132">SUM(F133+F137)</f>
        <v>0</v>
      </c>
      <c r="G132" s="300">
        <f t="shared" si="42"/>
        <v>0</v>
      </c>
      <c r="H132" s="300">
        <f t="shared" si="42"/>
        <v>0</v>
      </c>
      <c r="I132" s="300">
        <f t="shared" si="42"/>
        <v>0</v>
      </c>
      <c r="J132" s="300">
        <f t="shared" si="42"/>
        <v>194.24</v>
      </c>
      <c r="K132" s="300">
        <f t="shared" si="42"/>
        <v>173.57999999999998</v>
      </c>
      <c r="L132" s="300">
        <f t="shared" si="42"/>
        <v>0</v>
      </c>
      <c r="M132" s="300">
        <f t="shared" si="42"/>
        <v>2</v>
      </c>
      <c r="N132" s="300">
        <f t="shared" si="42"/>
        <v>0</v>
      </c>
      <c r="O132" s="300">
        <f t="shared" si="42"/>
        <v>5</v>
      </c>
      <c r="P132" s="300">
        <f t="shared" si="42"/>
        <v>178.58</v>
      </c>
      <c r="Q132" s="300">
        <f t="shared" si="42"/>
        <v>372.82</v>
      </c>
      <c r="R132" s="300">
        <f t="shared" si="42"/>
        <v>186.41</v>
      </c>
    </row>
    <row r="133" spans="1:18" ht="19.5">
      <c r="A133" s="265"/>
      <c r="B133" s="265" t="s">
        <v>237</v>
      </c>
      <c r="C133" s="267"/>
      <c r="D133" s="271"/>
      <c r="E133" s="289">
        <f>SUM(E134:E136)</f>
        <v>90.74</v>
      </c>
      <c r="F133" s="301">
        <f aca="true" t="shared" si="43" ref="F133:R133">SUM(F134:F136)</f>
        <v>0</v>
      </c>
      <c r="G133" s="301">
        <f t="shared" si="43"/>
        <v>0</v>
      </c>
      <c r="H133" s="301">
        <f t="shared" si="43"/>
        <v>0</v>
      </c>
      <c r="I133" s="301">
        <f t="shared" si="43"/>
        <v>0</v>
      </c>
      <c r="J133" s="289">
        <f t="shared" si="43"/>
        <v>90.74</v>
      </c>
      <c r="K133" s="301">
        <f t="shared" si="43"/>
        <v>89.08</v>
      </c>
      <c r="L133" s="301">
        <f t="shared" si="43"/>
        <v>0</v>
      </c>
      <c r="M133" s="301">
        <f t="shared" si="43"/>
        <v>2</v>
      </c>
      <c r="N133" s="301">
        <f t="shared" si="43"/>
        <v>0</v>
      </c>
      <c r="O133" s="301">
        <f t="shared" si="43"/>
        <v>5</v>
      </c>
      <c r="P133" s="301">
        <f t="shared" si="43"/>
        <v>94.08000000000001</v>
      </c>
      <c r="Q133" s="301">
        <f t="shared" si="43"/>
        <v>184.82</v>
      </c>
      <c r="R133" s="301">
        <f t="shared" si="43"/>
        <v>92.41</v>
      </c>
    </row>
    <row r="134" spans="1:18" ht="19.5">
      <c r="A134" s="265"/>
      <c r="B134" s="267"/>
      <c r="C134" s="267"/>
      <c r="D134" s="273" t="s">
        <v>239</v>
      </c>
      <c r="E134" s="301">
        <v>0</v>
      </c>
      <c r="F134" s="302">
        <v>0</v>
      </c>
      <c r="G134" s="302">
        <v>0</v>
      </c>
      <c r="H134" s="302">
        <v>0</v>
      </c>
      <c r="I134" s="288">
        <f>SUM(F134:H134)*2.5</f>
        <v>0</v>
      </c>
      <c r="J134" s="287">
        <f>E134+I134</f>
        <v>0</v>
      </c>
      <c r="K134" s="287">
        <v>31.73</v>
      </c>
      <c r="L134" s="302">
        <v>0</v>
      </c>
      <c r="M134" s="302">
        <v>2</v>
      </c>
      <c r="N134" s="302">
        <v>0</v>
      </c>
      <c r="O134" s="288">
        <f>SUM(L134:N134)*2.5</f>
        <v>5</v>
      </c>
      <c r="P134" s="302">
        <f>K134+O134</f>
        <v>36.730000000000004</v>
      </c>
      <c r="Q134" s="302">
        <f>J134+P134</f>
        <v>36.730000000000004</v>
      </c>
      <c r="R134" s="302">
        <f>Q134/2</f>
        <v>18.365000000000002</v>
      </c>
    </row>
    <row r="135" spans="1:18" ht="19.5">
      <c r="A135" s="265"/>
      <c r="B135" s="267"/>
      <c r="C135" s="267"/>
      <c r="D135" s="273" t="s">
        <v>240</v>
      </c>
      <c r="E135" s="19">
        <v>26.49</v>
      </c>
      <c r="F135" s="302">
        <v>0</v>
      </c>
      <c r="G135" s="302">
        <v>0</v>
      </c>
      <c r="H135" s="302">
        <v>0</v>
      </c>
      <c r="I135" s="288">
        <f>SUM(F135:H135)*2.5</f>
        <v>0</v>
      </c>
      <c r="J135" s="287">
        <f>E135+I135</f>
        <v>26.49</v>
      </c>
      <c r="K135" s="287">
        <v>29.85</v>
      </c>
      <c r="L135" s="302">
        <v>0</v>
      </c>
      <c r="M135" s="302">
        <v>0</v>
      </c>
      <c r="N135" s="302">
        <v>0</v>
      </c>
      <c r="O135" s="288">
        <f>SUM(L135:N135)*2.5</f>
        <v>0</v>
      </c>
      <c r="P135" s="302">
        <f>K135+O135</f>
        <v>29.85</v>
      </c>
      <c r="Q135" s="302">
        <f>J135+P135</f>
        <v>56.34</v>
      </c>
      <c r="R135" s="302">
        <f>Q135/2</f>
        <v>28.17</v>
      </c>
    </row>
    <row r="136" spans="1:18" ht="19.5">
      <c r="A136" s="265"/>
      <c r="B136" s="267"/>
      <c r="C136" s="267"/>
      <c r="D136" s="273" t="s">
        <v>241</v>
      </c>
      <c r="E136" s="19">
        <v>64.25</v>
      </c>
      <c r="F136" s="302">
        <v>0</v>
      </c>
      <c r="G136" s="302">
        <v>0</v>
      </c>
      <c r="H136" s="302">
        <v>0</v>
      </c>
      <c r="I136" s="288">
        <f>SUM(F136:H136)*2.5</f>
        <v>0</v>
      </c>
      <c r="J136" s="287">
        <f>E136+I136</f>
        <v>64.25</v>
      </c>
      <c r="K136" s="287">
        <v>27.5</v>
      </c>
      <c r="L136" s="302">
        <v>0</v>
      </c>
      <c r="M136" s="302">
        <v>0</v>
      </c>
      <c r="N136" s="302">
        <v>0</v>
      </c>
      <c r="O136" s="288">
        <f>SUM(L136:N136)*2.5</f>
        <v>0</v>
      </c>
      <c r="P136" s="302">
        <f>K136+O136</f>
        <v>27.5</v>
      </c>
      <c r="Q136" s="302">
        <f>J136+P136</f>
        <v>91.75</v>
      </c>
      <c r="R136" s="302">
        <f>Q136/2</f>
        <v>45.875</v>
      </c>
    </row>
    <row r="137" spans="1:18" ht="19.5">
      <c r="A137" s="285"/>
      <c r="B137" s="278" t="s">
        <v>238</v>
      </c>
      <c r="C137" s="275"/>
      <c r="D137" s="276"/>
      <c r="E137" s="277">
        <v>103.5</v>
      </c>
      <c r="F137" s="303">
        <v>0</v>
      </c>
      <c r="G137" s="303">
        <v>0</v>
      </c>
      <c r="H137" s="303">
        <v>0</v>
      </c>
      <c r="I137" s="304">
        <f>SUM(F137:H137)*2.5</f>
        <v>0</v>
      </c>
      <c r="J137" s="303">
        <f>E137+I137</f>
        <v>103.5</v>
      </c>
      <c r="K137" s="303">
        <v>84.5</v>
      </c>
      <c r="L137" s="303">
        <v>0</v>
      </c>
      <c r="M137" s="303">
        <v>0</v>
      </c>
      <c r="N137" s="303">
        <v>0</v>
      </c>
      <c r="O137" s="304">
        <f>SUM(L137:N137)*2.5</f>
        <v>0</v>
      </c>
      <c r="P137" s="305">
        <f>K137+O137</f>
        <v>84.5</v>
      </c>
      <c r="Q137" s="305">
        <f>J137+P137</f>
        <v>188</v>
      </c>
      <c r="R137" s="305">
        <f>Q137/2</f>
        <v>94</v>
      </c>
    </row>
    <row r="138" spans="1:18" ht="18.75">
      <c r="A138" s="253"/>
      <c r="B138" s="253"/>
      <c r="C138" s="253"/>
      <c r="D138" s="253"/>
      <c r="E138" s="254"/>
      <c r="F138" s="254"/>
      <c r="G138" s="254"/>
      <c r="H138" s="254"/>
      <c r="I138" s="254"/>
      <c r="J138" s="255"/>
      <c r="K138" s="254"/>
      <c r="L138" s="254"/>
      <c r="M138" s="254"/>
      <c r="N138" s="254"/>
      <c r="O138" s="254"/>
      <c r="P138" s="255"/>
      <c r="Q138" s="255"/>
      <c r="R138" s="255"/>
    </row>
    <row r="139" spans="1:18" ht="18.75">
      <c r="A139" s="256" t="s">
        <v>276</v>
      </c>
      <c r="B139" s="256"/>
      <c r="C139" s="256"/>
      <c r="D139" s="256"/>
      <c r="E139" s="256"/>
      <c r="F139" s="256"/>
      <c r="G139" s="256"/>
      <c r="H139" s="256"/>
      <c r="I139" s="256"/>
      <c r="J139" s="256"/>
      <c r="K139" s="257"/>
      <c r="L139" s="257"/>
      <c r="M139" s="257"/>
      <c r="N139" s="257"/>
      <c r="O139" s="257"/>
      <c r="P139" s="257"/>
      <c r="Q139" s="257"/>
      <c r="R139" s="257"/>
    </row>
    <row r="140" spans="1:18" ht="18.75">
      <c r="A140" s="258" t="s">
        <v>281</v>
      </c>
      <c r="B140" s="258"/>
      <c r="C140" s="258"/>
      <c r="D140" s="258"/>
      <c r="E140" s="256"/>
      <c r="F140" s="256"/>
      <c r="G140" s="256"/>
      <c r="H140" s="256"/>
      <c r="I140" s="256"/>
      <c r="J140" s="256"/>
      <c r="K140" s="257"/>
      <c r="L140" s="257"/>
      <c r="M140" s="257"/>
      <c r="N140" s="257"/>
      <c r="O140" s="257"/>
      <c r="P140" s="257"/>
      <c r="Q140" s="257"/>
      <c r="R140" s="257"/>
    </row>
    <row r="141" spans="1:18" ht="18.75">
      <c r="A141" s="257" t="s">
        <v>280</v>
      </c>
      <c r="B141" s="257"/>
      <c r="C141" s="257"/>
      <c r="D141" s="257"/>
      <c r="E141" s="257"/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</row>
    <row r="142" spans="1:18" ht="21.75">
      <c r="A142" s="457" t="s">
        <v>293</v>
      </c>
      <c r="B142" s="259"/>
      <c r="C142" s="259"/>
      <c r="D142" s="259"/>
      <c r="E142" s="259"/>
      <c r="F142" s="259"/>
      <c r="G142" s="259"/>
      <c r="H142" s="259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</row>
    <row r="143" spans="1:18" ht="21.75">
      <c r="A143" s="259"/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</row>
    <row r="144" spans="1:18" ht="21.75">
      <c r="A144" s="259"/>
      <c r="B144" s="259"/>
      <c r="C144" s="259"/>
      <c r="D144" s="259"/>
      <c r="E144" s="259"/>
      <c r="F144" s="259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/>
    </row>
    <row r="145" spans="1:18" ht="21.75">
      <c r="A145" s="259"/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</row>
    <row r="146" spans="1:18" ht="21.75">
      <c r="A146" s="259"/>
      <c r="B146" s="259"/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</row>
    <row r="147" spans="1:18" ht="21.75">
      <c r="A147" s="259"/>
      <c r="B147" s="259"/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</row>
    <row r="148" spans="1:18" ht="21.75">
      <c r="A148" s="259"/>
      <c r="B148" s="259"/>
      <c r="C148" s="259"/>
      <c r="D148" s="259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</row>
    <row r="149" spans="1:18" ht="21.75">
      <c r="A149" s="259"/>
      <c r="B149" s="259"/>
      <c r="C149" s="259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</row>
    <row r="150" spans="1:18" ht="21.75">
      <c r="A150" s="259"/>
      <c r="B150" s="259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</row>
    <row r="151" spans="1:18" ht="21.75">
      <c r="A151" s="259"/>
      <c r="B151" s="259"/>
      <c r="C151" s="259"/>
      <c r="D151" s="259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</row>
    <row r="152" spans="1:18" ht="21.75">
      <c r="A152" s="259"/>
      <c r="B152" s="259"/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</row>
    <row r="153" spans="1:18" ht="21.75">
      <c r="A153" s="259"/>
      <c r="B153" s="259"/>
      <c r="C153" s="259"/>
      <c r="D153" s="259"/>
      <c r="E153" s="259"/>
      <c r="F153" s="259"/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</row>
    <row r="154" spans="1:18" ht="21.75">
      <c r="A154" s="259"/>
      <c r="B154" s="259"/>
      <c r="C154" s="259"/>
      <c r="D154" s="259"/>
      <c r="E154" s="259"/>
      <c r="F154" s="259"/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</row>
  </sheetData>
  <sheetProtection/>
  <mergeCells count="6">
    <mergeCell ref="A1:R1"/>
    <mergeCell ref="E2:J2"/>
    <mergeCell ref="K2:P2"/>
    <mergeCell ref="E3:I3"/>
    <mergeCell ref="K3:O3"/>
    <mergeCell ref="A2:D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  <headerFooter alignWithMargins="0">
    <oddFooter>&amp;L&amp;10กลุ่มภารกิจยุทธสาสตร์และแผนงาน&amp;C&amp;10 ข้อมูล ณ วันที  23 พฤศจิกายน  2553&amp;R&amp;10FTES  1 และ  2 - 53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R36"/>
  <sheetViews>
    <sheetView zoomScale="120" zoomScaleNormal="120" zoomScalePageLayoutView="0" workbookViewId="0" topLeftCell="A13">
      <selection activeCell="T10" sqref="T10"/>
    </sheetView>
  </sheetViews>
  <sheetFormatPr defaultColWidth="9.140625" defaultRowHeight="21.75"/>
  <cols>
    <col min="1" max="1" width="12.00390625" style="1" customWidth="1"/>
    <col min="2" max="2" width="9.00390625" style="1" hidden="1" customWidth="1"/>
    <col min="3" max="4" width="7.7109375" style="1" hidden="1" customWidth="1"/>
    <col min="5" max="5" width="6.8515625" style="1" hidden="1" customWidth="1"/>
    <col min="6" max="6" width="7.7109375" style="1" hidden="1" customWidth="1"/>
    <col min="7" max="8" width="9.00390625" style="1" hidden="1" customWidth="1"/>
    <col min="9" max="10" width="7.7109375" style="1" hidden="1" customWidth="1"/>
    <col min="11" max="11" width="7.28125" style="1" hidden="1" customWidth="1"/>
    <col min="12" max="12" width="7.7109375" style="1" hidden="1" customWidth="1"/>
    <col min="13" max="13" width="9.00390625" style="1" hidden="1" customWidth="1"/>
    <col min="14" max="14" width="33.7109375" style="1" customWidth="1"/>
    <col min="15" max="18" width="12.28125" style="1" customWidth="1"/>
    <col min="19" max="16384" width="9.140625" style="1" customWidth="1"/>
  </cols>
  <sheetData>
    <row r="1" spans="1:18" ht="23.25">
      <c r="A1" s="560" t="s">
        <v>153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</row>
    <row r="2" spans="1:18" ht="23.25">
      <c r="A2" s="209" t="s">
        <v>149</v>
      </c>
      <c r="B2" s="561" t="s">
        <v>2</v>
      </c>
      <c r="C2" s="561"/>
      <c r="D2" s="561"/>
      <c r="E2" s="561"/>
      <c r="F2" s="561"/>
      <c r="G2" s="562"/>
      <c r="H2" s="561" t="s">
        <v>115</v>
      </c>
      <c r="I2" s="561"/>
      <c r="J2" s="561"/>
      <c r="K2" s="561"/>
      <c r="L2" s="561"/>
      <c r="M2" s="562"/>
      <c r="N2" s="207" t="s">
        <v>150</v>
      </c>
      <c r="O2" s="208" t="s">
        <v>152</v>
      </c>
      <c r="P2" s="209" t="s">
        <v>151</v>
      </c>
      <c r="Q2" s="209" t="s">
        <v>3</v>
      </c>
      <c r="R2" s="209" t="s">
        <v>7</v>
      </c>
    </row>
    <row r="3" spans="1:18" ht="23.25">
      <c r="A3" s="210" t="s">
        <v>15</v>
      </c>
      <c r="B3" s="211" t="e">
        <f aca="true" t="shared" si="0" ref="B3:M3">SUM(B4:B5)</f>
        <v>#REF!</v>
      </c>
      <c r="C3" s="211" t="e">
        <f t="shared" si="0"/>
        <v>#REF!</v>
      </c>
      <c r="D3" s="211" t="e">
        <f t="shared" si="0"/>
        <v>#REF!</v>
      </c>
      <c r="E3" s="211" t="e">
        <f t="shared" si="0"/>
        <v>#REF!</v>
      </c>
      <c r="F3" s="211" t="e">
        <f t="shared" si="0"/>
        <v>#REF!</v>
      </c>
      <c r="G3" s="211" t="e">
        <f t="shared" si="0"/>
        <v>#REF!</v>
      </c>
      <c r="H3" s="211">
        <f t="shared" si="0"/>
        <v>1259.6</v>
      </c>
      <c r="I3" s="211">
        <f t="shared" si="0"/>
        <v>0</v>
      </c>
      <c r="J3" s="211">
        <f t="shared" si="0"/>
        <v>0</v>
      </c>
      <c r="K3" s="211">
        <f t="shared" si="0"/>
        <v>0</v>
      </c>
      <c r="L3" s="211" t="e">
        <f t="shared" si="0"/>
        <v>#REF!</v>
      </c>
      <c r="M3" s="211">
        <f t="shared" si="0"/>
        <v>0</v>
      </c>
      <c r="N3" s="210"/>
      <c r="O3" s="211"/>
      <c r="P3" s="211"/>
      <c r="Q3" s="211"/>
      <c r="R3" s="211"/>
    </row>
    <row r="4" spans="1:18" s="204" customFormat="1" ht="23.25">
      <c r="A4" s="212">
        <v>1</v>
      </c>
      <c r="B4" s="213">
        <v>425.64</v>
      </c>
      <c r="C4" s="213">
        <v>0</v>
      </c>
      <c r="D4" s="213">
        <v>0</v>
      </c>
      <c r="E4" s="213">
        <v>0</v>
      </c>
      <c r="F4" s="214">
        <f>SUM(C4:E4)*1.5</f>
        <v>0</v>
      </c>
      <c r="G4" s="214">
        <f>B4+F4</f>
        <v>425.64</v>
      </c>
      <c r="H4" s="213">
        <v>300.83</v>
      </c>
      <c r="I4" s="213"/>
      <c r="J4" s="213"/>
      <c r="K4" s="213"/>
      <c r="L4" s="214">
        <f>SUM(I4:K4)*1.5</f>
        <v>0</v>
      </c>
      <c r="M4" s="214"/>
      <c r="N4" s="215" t="s">
        <v>17</v>
      </c>
      <c r="O4" s="214">
        <v>425.64</v>
      </c>
      <c r="P4" s="214">
        <v>314.72</v>
      </c>
      <c r="Q4" s="214">
        <f>O4+P4</f>
        <v>740.36</v>
      </c>
      <c r="R4" s="214">
        <f>Q4/2</f>
        <v>370.18</v>
      </c>
    </row>
    <row r="5" spans="1:18" s="204" customFormat="1" ht="23.25">
      <c r="A5" s="212">
        <v>2</v>
      </c>
      <c r="B5" s="213" t="e">
        <f>#REF!+#REF!+#REF!+#REF!+#REF!</f>
        <v>#REF!</v>
      </c>
      <c r="C5" s="213" t="e">
        <f>#REF!+#REF!+#REF!+#REF!+#REF!</f>
        <v>#REF!</v>
      </c>
      <c r="D5" s="213" t="e">
        <f>#REF!+#REF!+#REF!+#REF!+#REF!</f>
        <v>#REF!</v>
      </c>
      <c r="E5" s="213" t="e">
        <f>#REF!+#REF!+#REF!+#REF!+#REF!</f>
        <v>#REF!</v>
      </c>
      <c r="F5" s="213" t="e">
        <f>#REF!+#REF!+#REF!+#REF!+#REF!</f>
        <v>#REF!</v>
      </c>
      <c r="G5" s="213" t="e">
        <f>#REF!+#REF!+#REF!+#REF!+#REF!</f>
        <v>#REF!</v>
      </c>
      <c r="H5" s="213">
        <v>958.77</v>
      </c>
      <c r="I5" s="213"/>
      <c r="J5" s="213"/>
      <c r="K5" s="213"/>
      <c r="L5" s="213" t="e">
        <f>#REF!+#REF!+#REF!+#REF!+#REF!</f>
        <v>#REF!</v>
      </c>
      <c r="M5" s="213"/>
      <c r="N5" s="215" t="s">
        <v>18</v>
      </c>
      <c r="O5" s="213">
        <v>989.69</v>
      </c>
      <c r="P5" s="213">
        <v>958.77</v>
      </c>
      <c r="Q5" s="214">
        <f aca="true" t="shared" si="1" ref="Q5:Q14">O5+P5</f>
        <v>1948.46</v>
      </c>
      <c r="R5" s="214">
        <f aca="true" t="shared" si="2" ref="R5:R23">Q5/2</f>
        <v>974.23</v>
      </c>
    </row>
    <row r="6" spans="1:18" ht="23.25">
      <c r="A6" s="216" t="s">
        <v>25</v>
      </c>
      <c r="B6" s="217" t="e">
        <f>#REF!+#REF!+#REF!+#REF!+B7+#REF!+#REF!</f>
        <v>#REF!</v>
      </c>
      <c r="C6" s="217" t="e">
        <f>#REF!+#REF!+#REF!+#REF!+C7+#REF!+#REF!</f>
        <v>#REF!</v>
      </c>
      <c r="D6" s="217" t="e">
        <f>#REF!+#REF!+#REF!+#REF!+D7+#REF!+#REF!</f>
        <v>#REF!</v>
      </c>
      <c r="E6" s="217" t="e">
        <f>#REF!+#REF!+#REF!+#REF!+E7+#REF!+#REF!</f>
        <v>#REF!</v>
      </c>
      <c r="F6" s="217" t="e">
        <f>#REF!+#REF!+#REF!+#REF!+F7+#REF!+#REF!</f>
        <v>#REF!</v>
      </c>
      <c r="G6" s="217" t="e">
        <f>#REF!+#REF!+#REF!+#REF!+G7+#REF!+#REF!</f>
        <v>#REF!</v>
      </c>
      <c r="H6" s="217" t="e">
        <f>#REF!+#REF!+#REF!+#REF!+H7+#REF!+#REF!</f>
        <v>#REF!</v>
      </c>
      <c r="I6" s="217" t="e">
        <f>#REF!+#REF!+#REF!+#REF!+I7+#REF!+#REF!</f>
        <v>#REF!</v>
      </c>
      <c r="J6" s="217" t="e">
        <f>#REF!+#REF!+#REF!+#REF!+J7+#REF!+#REF!</f>
        <v>#REF!</v>
      </c>
      <c r="K6" s="217" t="e">
        <f>#REF!+#REF!+#REF!+#REF!+K7+#REF!+#REF!</f>
        <v>#REF!</v>
      </c>
      <c r="L6" s="217" t="e">
        <f>#REF!+#REF!+#REF!+#REF!+L7+#REF!+#REF!</f>
        <v>#REF!</v>
      </c>
      <c r="M6" s="217" t="e">
        <f>#REF!+#REF!+#REF!+#REF!+M7+#REF!+#REF!</f>
        <v>#REF!</v>
      </c>
      <c r="N6" s="218"/>
      <c r="O6" s="217"/>
      <c r="P6" s="217"/>
      <c r="Q6" s="217"/>
      <c r="R6" s="217"/>
    </row>
    <row r="7" spans="1:18" s="204" customFormat="1" ht="26.25">
      <c r="A7" s="212">
        <v>3</v>
      </c>
      <c r="B7" s="214" t="e">
        <f>SUM(#REF!)</f>
        <v>#REF!</v>
      </c>
      <c r="C7" s="214" t="e">
        <f>SUM(#REF!)</f>
        <v>#REF!</v>
      </c>
      <c r="D7" s="214" t="e">
        <f>SUM(#REF!)</f>
        <v>#REF!</v>
      </c>
      <c r="E7" s="214" t="e">
        <f>SUM(#REF!)</f>
        <v>#REF!</v>
      </c>
      <c r="F7" s="214" t="e">
        <f>SUM(#REF!)</f>
        <v>#REF!</v>
      </c>
      <c r="G7" s="214" t="e">
        <f>SUM(#REF!)</f>
        <v>#REF!</v>
      </c>
      <c r="H7" s="214"/>
      <c r="I7" s="214"/>
      <c r="J7" s="214"/>
      <c r="K7" s="214"/>
      <c r="L7" s="214"/>
      <c r="M7" s="214"/>
      <c r="N7" s="233" t="s">
        <v>120</v>
      </c>
      <c r="O7" s="214">
        <v>166.43</v>
      </c>
      <c r="P7" s="214">
        <f>140.61+17.83</f>
        <v>158.44</v>
      </c>
      <c r="Q7" s="214">
        <f t="shared" si="1"/>
        <v>324.87</v>
      </c>
      <c r="R7" s="214">
        <f t="shared" si="2"/>
        <v>162.435</v>
      </c>
    </row>
    <row r="8" spans="1:18" s="204" customFormat="1" ht="26.25">
      <c r="A8" s="212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33" t="s">
        <v>163</v>
      </c>
      <c r="O8" s="214">
        <v>182.68</v>
      </c>
      <c r="P8" s="214">
        <f>178.9+16.44+23.33</f>
        <v>218.67000000000002</v>
      </c>
      <c r="Q8" s="214">
        <f>O8+P8</f>
        <v>401.35</v>
      </c>
      <c r="R8" s="214">
        <f>Q8/2</f>
        <v>200.675</v>
      </c>
    </row>
    <row r="9" spans="1:18" s="204" customFormat="1" ht="23.25">
      <c r="A9" s="216" t="s">
        <v>47</v>
      </c>
      <c r="B9" s="220">
        <f>B10</f>
        <v>839.77</v>
      </c>
      <c r="C9" s="220">
        <f aca="true" t="shared" si="3" ref="C9:M9">C10</f>
        <v>0</v>
      </c>
      <c r="D9" s="220">
        <f t="shared" si="3"/>
        <v>0</v>
      </c>
      <c r="E9" s="220">
        <f t="shared" si="3"/>
        <v>0</v>
      </c>
      <c r="F9" s="220">
        <f t="shared" si="3"/>
        <v>0</v>
      </c>
      <c r="G9" s="220">
        <f t="shared" si="3"/>
        <v>839.77</v>
      </c>
      <c r="H9" s="220">
        <f t="shared" si="3"/>
        <v>849.39</v>
      </c>
      <c r="I9" s="220">
        <f t="shared" si="3"/>
        <v>0</v>
      </c>
      <c r="J9" s="220">
        <f t="shared" si="3"/>
        <v>0</v>
      </c>
      <c r="K9" s="220">
        <f t="shared" si="3"/>
        <v>0</v>
      </c>
      <c r="L9" s="220">
        <f t="shared" si="3"/>
        <v>0</v>
      </c>
      <c r="M9" s="220">
        <f t="shared" si="3"/>
        <v>0</v>
      </c>
      <c r="N9" s="218"/>
      <c r="O9" s="220"/>
      <c r="P9" s="220"/>
      <c r="Q9" s="220"/>
      <c r="R9" s="220"/>
    </row>
    <row r="10" spans="1:18" s="204" customFormat="1" ht="23.25">
      <c r="A10" s="212">
        <v>4</v>
      </c>
      <c r="B10" s="213">
        <v>839.77</v>
      </c>
      <c r="C10" s="213">
        <v>0</v>
      </c>
      <c r="D10" s="213">
        <v>0</v>
      </c>
      <c r="E10" s="213">
        <v>0</v>
      </c>
      <c r="F10" s="214">
        <f>SUM(C10:E10)*1.5</f>
        <v>0</v>
      </c>
      <c r="G10" s="221">
        <f>B10+F10</f>
        <v>839.77</v>
      </c>
      <c r="H10" s="213">
        <f>849.39</f>
        <v>849.39</v>
      </c>
      <c r="I10" s="213"/>
      <c r="J10" s="213"/>
      <c r="K10" s="213"/>
      <c r="L10" s="214"/>
      <c r="M10" s="221"/>
      <c r="N10" s="219" t="s">
        <v>48</v>
      </c>
      <c r="O10" s="221">
        <v>839.77</v>
      </c>
      <c r="P10" s="221">
        <v>849.39</v>
      </c>
      <c r="Q10" s="214">
        <f t="shared" si="1"/>
        <v>1689.1599999999999</v>
      </c>
      <c r="R10" s="214">
        <f t="shared" si="2"/>
        <v>844.5799999999999</v>
      </c>
    </row>
    <row r="11" spans="1:18" s="204" customFormat="1" ht="23.25">
      <c r="A11" s="216" t="s">
        <v>49</v>
      </c>
      <c r="B11" s="220" t="e">
        <f>B12+#REF!+#REF!</f>
        <v>#REF!</v>
      </c>
      <c r="C11" s="220" t="e">
        <f>C12+#REF!+#REF!</f>
        <v>#REF!</v>
      </c>
      <c r="D11" s="220" t="e">
        <f>D12+#REF!+#REF!</f>
        <v>#REF!</v>
      </c>
      <c r="E11" s="220" t="e">
        <f>E12+#REF!+#REF!</f>
        <v>#REF!</v>
      </c>
      <c r="F11" s="220" t="e">
        <f>F12+#REF!+#REF!</f>
        <v>#REF!</v>
      </c>
      <c r="G11" s="220" t="e">
        <f>G12+#REF!+#REF!</f>
        <v>#REF!</v>
      </c>
      <c r="H11" s="220" t="e">
        <f>H12+#REF!+#REF!</f>
        <v>#REF!</v>
      </c>
      <c r="I11" s="220" t="e">
        <f>I12+#REF!+#REF!</f>
        <v>#REF!</v>
      </c>
      <c r="J11" s="220" t="e">
        <f>J12+#REF!+#REF!</f>
        <v>#REF!</v>
      </c>
      <c r="K11" s="220" t="e">
        <f>K12+#REF!+#REF!</f>
        <v>#REF!</v>
      </c>
      <c r="L11" s="220" t="e">
        <f>L12+#REF!+#REF!</f>
        <v>#REF!</v>
      </c>
      <c r="M11" s="220" t="e">
        <f>M12+#REF!+#REF!</f>
        <v>#REF!</v>
      </c>
      <c r="N11" s="218"/>
      <c r="O11" s="220"/>
      <c r="P11" s="220"/>
      <c r="Q11" s="220"/>
      <c r="R11" s="220"/>
    </row>
    <row r="12" spans="1:18" s="204" customFormat="1" ht="23.25">
      <c r="A12" s="212">
        <v>5</v>
      </c>
      <c r="B12" s="213">
        <v>212.52</v>
      </c>
      <c r="C12" s="213">
        <v>0</v>
      </c>
      <c r="D12" s="213">
        <v>0</v>
      </c>
      <c r="E12" s="213">
        <v>0</v>
      </c>
      <c r="F12" s="214">
        <f>SUM(C12:E12)*1.5</f>
        <v>0</v>
      </c>
      <c r="G12" s="221">
        <f>B12+F12</f>
        <v>212.52</v>
      </c>
      <c r="H12" s="213"/>
      <c r="I12" s="213"/>
      <c r="J12" s="213"/>
      <c r="K12" s="213"/>
      <c r="L12" s="214"/>
      <c r="M12" s="221"/>
      <c r="N12" s="219" t="s">
        <v>50</v>
      </c>
      <c r="O12" s="221">
        <v>212.52</v>
      </c>
      <c r="P12" s="221">
        <v>215.48</v>
      </c>
      <c r="Q12" s="214">
        <f t="shared" si="1"/>
        <v>428</v>
      </c>
      <c r="R12" s="214">
        <f t="shared" si="2"/>
        <v>214</v>
      </c>
    </row>
    <row r="13" spans="1:18" ht="23.25">
      <c r="A13" s="216" t="s">
        <v>55</v>
      </c>
      <c r="B13" s="220" t="e">
        <f>#REF!+#REF!+#REF!+#REF!+#REF!+#REF!</f>
        <v>#REF!</v>
      </c>
      <c r="C13" s="220" t="e">
        <f>#REF!+#REF!+#REF!+#REF!+#REF!+#REF!</f>
        <v>#REF!</v>
      </c>
      <c r="D13" s="220" t="e">
        <f>#REF!+#REF!+#REF!+#REF!+#REF!+#REF!</f>
        <v>#REF!</v>
      </c>
      <c r="E13" s="220" t="e">
        <f>#REF!+#REF!+#REF!+#REF!+#REF!+#REF!</f>
        <v>#REF!</v>
      </c>
      <c r="F13" s="220" t="e">
        <f>#REF!+#REF!+#REF!+#REF!+#REF!+#REF!</f>
        <v>#REF!</v>
      </c>
      <c r="G13" s="220" t="e">
        <f>#REF!+#REF!+#REF!+#REF!+#REF!+#REF!</f>
        <v>#REF!</v>
      </c>
      <c r="H13" s="220" t="e">
        <f>#REF!+#REF!+#REF!+#REF!+#REF!+#REF!</f>
        <v>#REF!</v>
      </c>
      <c r="I13" s="220" t="e">
        <f>#REF!+#REF!+#REF!+#REF!+#REF!+#REF!</f>
        <v>#REF!</v>
      </c>
      <c r="J13" s="220" t="e">
        <f>#REF!+#REF!+#REF!+#REF!+#REF!+#REF!</f>
        <v>#REF!</v>
      </c>
      <c r="K13" s="220" t="e">
        <f>#REF!+#REF!+#REF!+#REF!+#REF!+#REF!</f>
        <v>#REF!</v>
      </c>
      <c r="L13" s="220" t="e">
        <f>#REF!+#REF!+#REF!+#REF!+#REF!+#REF!</f>
        <v>#REF!</v>
      </c>
      <c r="M13" s="220" t="e">
        <f>#REF!+#REF!+#REF!+#REF!+#REF!+#REF!</f>
        <v>#REF!</v>
      </c>
      <c r="N13" s="218"/>
      <c r="O13" s="220"/>
      <c r="P13" s="220"/>
      <c r="Q13" s="220"/>
      <c r="R13" s="220"/>
    </row>
    <row r="14" spans="1:18" s="205" customFormat="1" ht="26.25">
      <c r="A14" s="212">
        <v>6</v>
      </c>
      <c r="B14" s="213">
        <v>244.54</v>
      </c>
      <c r="C14" s="213">
        <v>0</v>
      </c>
      <c r="D14" s="213">
        <v>0</v>
      </c>
      <c r="E14" s="213">
        <v>0</v>
      </c>
      <c r="F14" s="214">
        <f>SUM(C14:E14)*1.5</f>
        <v>0</v>
      </c>
      <c r="G14" s="221">
        <f>B14+F14</f>
        <v>244.54</v>
      </c>
      <c r="H14" s="213">
        <f>213.89+107.78</f>
        <v>321.66999999999996</v>
      </c>
      <c r="I14" s="213"/>
      <c r="J14" s="213"/>
      <c r="K14" s="213"/>
      <c r="L14" s="214"/>
      <c r="M14" s="221"/>
      <c r="N14" s="219" t="s">
        <v>60</v>
      </c>
      <c r="O14" s="221">
        <v>244.54</v>
      </c>
      <c r="P14" s="221">
        <v>321.67</v>
      </c>
      <c r="Q14" s="214">
        <f t="shared" si="1"/>
        <v>566.21</v>
      </c>
      <c r="R14" s="214">
        <f t="shared" si="2"/>
        <v>283.105</v>
      </c>
    </row>
    <row r="15" spans="1:18" ht="23.25">
      <c r="A15" s="216" t="s">
        <v>85</v>
      </c>
      <c r="B15" s="217" t="e">
        <f>#REF!+#REF!+B16+#REF!+B19+#REF!</f>
        <v>#REF!</v>
      </c>
      <c r="C15" s="217" t="e">
        <f>#REF!+#REF!+C16+#REF!+C19+#REF!</f>
        <v>#REF!</v>
      </c>
      <c r="D15" s="217" t="e">
        <f>#REF!+#REF!+D16+#REF!+D19+#REF!</f>
        <v>#REF!</v>
      </c>
      <c r="E15" s="217" t="e">
        <f>#REF!+#REF!+E16+#REF!+E19+#REF!</f>
        <v>#REF!</v>
      </c>
      <c r="F15" s="217" t="e">
        <f>#REF!+#REF!+F16+#REF!+F19+#REF!</f>
        <v>#REF!</v>
      </c>
      <c r="G15" s="217" t="e">
        <f>#REF!+#REF!+G16+#REF!+G19+#REF!</f>
        <v>#REF!</v>
      </c>
      <c r="H15" s="217" t="e">
        <f>#REF!+#REF!+H16+#REF!+H19+#REF!</f>
        <v>#REF!</v>
      </c>
      <c r="I15" s="217" t="e">
        <f>#REF!+#REF!+I16+#REF!+I19+#REF!</f>
        <v>#REF!</v>
      </c>
      <c r="J15" s="217" t="e">
        <f>#REF!+#REF!+J16+#REF!+J19+#REF!</f>
        <v>#REF!</v>
      </c>
      <c r="K15" s="217" t="e">
        <f>#REF!+#REF!+K16+#REF!+K19+#REF!</f>
        <v>#REF!</v>
      </c>
      <c r="L15" s="217" t="e">
        <f>#REF!+#REF!+L16+#REF!+L19+#REF!</f>
        <v>#REF!</v>
      </c>
      <c r="M15" s="217" t="e">
        <f>#REF!+#REF!+M16+#REF!+M19+#REF!</f>
        <v>#REF!</v>
      </c>
      <c r="N15" s="218"/>
      <c r="O15" s="217"/>
      <c r="P15" s="217"/>
      <c r="Q15" s="217"/>
      <c r="R15" s="217"/>
    </row>
    <row r="16" spans="1:18" s="204" customFormat="1" ht="23.25">
      <c r="A16" s="222">
        <v>7</v>
      </c>
      <c r="B16" s="223" t="e">
        <f>#REF!+#REF!</f>
        <v>#REF!</v>
      </c>
      <c r="C16" s="223" t="e">
        <f>#REF!+#REF!</f>
        <v>#REF!</v>
      </c>
      <c r="D16" s="223" t="e">
        <f>#REF!+#REF!</f>
        <v>#REF!</v>
      </c>
      <c r="E16" s="223" t="e">
        <f>#REF!+#REF!</f>
        <v>#REF!</v>
      </c>
      <c r="F16" s="223" t="e">
        <f>#REF!+#REF!</f>
        <v>#REF!</v>
      </c>
      <c r="G16" s="223" t="e">
        <f>#REF!+#REF!</f>
        <v>#REF!</v>
      </c>
      <c r="H16" s="223" t="e">
        <f>#REF!+#REF!</f>
        <v>#REF!</v>
      </c>
      <c r="I16" s="223" t="e">
        <f>#REF!+#REF!</f>
        <v>#REF!</v>
      </c>
      <c r="J16" s="223" t="e">
        <f>#REF!+#REF!</f>
        <v>#REF!</v>
      </c>
      <c r="K16" s="223" t="e">
        <f>#REF!+#REF!</f>
        <v>#REF!</v>
      </c>
      <c r="L16" s="223" t="e">
        <f>#REF!+#REF!</f>
        <v>#REF!</v>
      </c>
      <c r="M16" s="223" t="e">
        <f>#REF!+#REF!</f>
        <v>#REF!</v>
      </c>
      <c r="N16" s="232" t="s">
        <v>92</v>
      </c>
      <c r="O16" s="223"/>
      <c r="P16" s="223"/>
      <c r="Q16" s="214"/>
      <c r="R16" s="214"/>
    </row>
    <row r="17" spans="1:18" s="204" customFormat="1" ht="23.25">
      <c r="A17" s="22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4" t="s">
        <v>159</v>
      </c>
      <c r="O17" s="223">
        <v>259.05</v>
      </c>
      <c r="P17" s="223">
        <v>245.34</v>
      </c>
      <c r="Q17" s="214">
        <f>O17+P17</f>
        <v>504.39</v>
      </c>
      <c r="R17" s="214">
        <f t="shared" si="2"/>
        <v>252.195</v>
      </c>
    </row>
    <row r="18" spans="1:18" s="204" customFormat="1" ht="23.25">
      <c r="A18" s="222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4" t="s">
        <v>156</v>
      </c>
      <c r="O18" s="223">
        <v>5.45</v>
      </c>
      <c r="P18" s="223">
        <v>5.28</v>
      </c>
      <c r="Q18" s="214">
        <f>O18+P18</f>
        <v>10.73</v>
      </c>
      <c r="R18" s="214">
        <f t="shared" si="2"/>
        <v>5.365</v>
      </c>
    </row>
    <row r="19" spans="1:18" s="205" customFormat="1" ht="26.25">
      <c r="A19" s="222">
        <v>8</v>
      </c>
      <c r="B19" s="224" t="e">
        <f>#REF!</f>
        <v>#REF!</v>
      </c>
      <c r="C19" s="224" t="e">
        <f>#REF!</f>
        <v>#REF!</v>
      </c>
      <c r="D19" s="224" t="e">
        <f>#REF!</f>
        <v>#REF!</v>
      </c>
      <c r="E19" s="224" t="e">
        <f>#REF!</f>
        <v>#REF!</v>
      </c>
      <c r="F19" s="224" t="e">
        <f>#REF!</f>
        <v>#REF!</v>
      </c>
      <c r="G19" s="224" t="e">
        <f>#REF!</f>
        <v>#REF!</v>
      </c>
      <c r="H19" s="224" t="e">
        <f>#REF!</f>
        <v>#REF!</v>
      </c>
      <c r="I19" s="224" t="e">
        <f>#REF!</f>
        <v>#REF!</v>
      </c>
      <c r="J19" s="224" t="e">
        <f>#REF!</f>
        <v>#REF!</v>
      </c>
      <c r="K19" s="224" t="e">
        <f>#REF!</f>
        <v>#REF!</v>
      </c>
      <c r="L19" s="224" t="e">
        <f>#REF!</f>
        <v>#REF!</v>
      </c>
      <c r="M19" s="224" t="e">
        <f>#REF!</f>
        <v>#REF!</v>
      </c>
      <c r="N19" s="232" t="s">
        <v>99</v>
      </c>
      <c r="O19" s="214"/>
      <c r="P19" s="214"/>
      <c r="Q19" s="214"/>
      <c r="R19" s="214"/>
    </row>
    <row r="20" spans="1:18" s="205" customFormat="1" ht="26.25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 t="s">
        <v>157</v>
      </c>
      <c r="O20" s="214">
        <v>519.81</v>
      </c>
      <c r="P20" s="214">
        <v>452</v>
      </c>
      <c r="Q20" s="214">
        <f>O20+P20</f>
        <v>971.81</v>
      </c>
      <c r="R20" s="214">
        <f t="shared" si="2"/>
        <v>485.905</v>
      </c>
    </row>
    <row r="21" spans="1:18" s="205" customFormat="1" ht="26.25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32" t="s">
        <v>160</v>
      </c>
      <c r="O21" s="214"/>
      <c r="P21" s="214"/>
      <c r="Q21" s="214"/>
      <c r="R21" s="214"/>
    </row>
    <row r="22" spans="1:18" s="205" customFormat="1" ht="26.2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 t="s">
        <v>158</v>
      </c>
      <c r="O22" s="214">
        <v>25.68</v>
      </c>
      <c r="P22" s="214">
        <v>23.72</v>
      </c>
      <c r="Q22" s="214">
        <f>O22+P22</f>
        <v>49.4</v>
      </c>
      <c r="R22" s="214">
        <f t="shared" si="2"/>
        <v>24.7</v>
      </c>
    </row>
    <row r="23" spans="1:18" ht="23.25">
      <c r="A23" s="225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 t="s">
        <v>161</v>
      </c>
      <c r="O23" s="226">
        <v>249.21</v>
      </c>
      <c r="P23" s="226">
        <v>112</v>
      </c>
      <c r="Q23" s="226">
        <f>O23+P23</f>
        <v>361.21000000000004</v>
      </c>
      <c r="R23" s="226">
        <f t="shared" si="2"/>
        <v>180.60500000000002</v>
      </c>
    </row>
    <row r="24" spans="1:18" ht="23.25">
      <c r="A24" s="229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1"/>
      <c r="O24" s="230"/>
      <c r="P24" s="230"/>
      <c r="Q24" s="230"/>
      <c r="R24" s="230"/>
    </row>
    <row r="25" spans="1:16" ht="21.75">
      <c r="A25" s="206" t="s">
        <v>154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21.75">
      <c r="A26"/>
      <c r="B26"/>
      <c r="C26"/>
      <c r="D26"/>
      <c r="E26"/>
      <c r="F26"/>
      <c r="G26"/>
      <c r="H26"/>
      <c r="I26"/>
      <c r="J26"/>
      <c r="K26"/>
      <c r="L26"/>
      <c r="M26"/>
      <c r="N26" s="206" t="s">
        <v>162</v>
      </c>
      <c r="O26"/>
      <c r="P26"/>
    </row>
    <row r="27" spans="1:16" ht="21.75">
      <c r="A27"/>
      <c r="B27"/>
      <c r="C27"/>
      <c r="D27"/>
      <c r="E27"/>
      <c r="F27"/>
      <c r="G27"/>
      <c r="H27"/>
      <c r="I27"/>
      <c r="J27"/>
      <c r="K27"/>
      <c r="L27"/>
      <c r="M27"/>
      <c r="N27" s="228" t="s">
        <v>155</v>
      </c>
      <c r="O27"/>
      <c r="P27"/>
    </row>
    <row r="28" spans="1:16" ht="21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21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21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21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21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21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21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21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21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</sheetData>
  <sheetProtection/>
  <mergeCells count="3">
    <mergeCell ref="A1:R1"/>
    <mergeCell ref="B2:G2"/>
    <mergeCell ref="H2:M2"/>
  </mergeCells>
  <printOptions horizontalCentered="1"/>
  <pageMargins left="0.5905511811023623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&amp;L&amp;10กลุ่มภารกิจยุทธศาสตร์และแผน&amp;C&amp;10 ข้อมูล ณ วันที  12  พฤศจิกายน  2553&amp;R&amp;10FTES 2 - 53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O137"/>
  <sheetViews>
    <sheetView zoomScale="140" zoomScaleNormal="140" zoomScalePageLayoutView="0" workbookViewId="0" topLeftCell="A1">
      <pane xSplit="1" ySplit="4" topLeftCell="B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78" sqref="P78"/>
    </sheetView>
  </sheetViews>
  <sheetFormatPr defaultColWidth="9.140625" defaultRowHeight="21.75"/>
  <cols>
    <col min="1" max="1" width="30.57421875" style="1" customWidth="1"/>
    <col min="2" max="2" width="9.00390625" style="1" bestFit="1" customWidth="1"/>
    <col min="3" max="4" width="7.7109375" style="1" customWidth="1"/>
    <col min="5" max="5" width="6.8515625" style="1" customWidth="1"/>
    <col min="6" max="6" width="7.7109375" style="1" customWidth="1"/>
    <col min="7" max="8" width="9.00390625" style="1" bestFit="1" customWidth="1"/>
    <col min="9" max="10" width="7.7109375" style="1" customWidth="1"/>
    <col min="11" max="11" width="7.28125" style="1" customWidth="1"/>
    <col min="12" max="12" width="7.7109375" style="1" customWidth="1"/>
    <col min="13" max="15" width="9.00390625" style="1" bestFit="1" customWidth="1"/>
    <col min="16" max="16384" width="9.140625" style="1" customWidth="1"/>
  </cols>
  <sheetData>
    <row r="1" spans="1:15" ht="21.75" customHeight="1">
      <c r="A1" s="563" t="s">
        <v>116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</row>
    <row r="2" spans="1:15" ht="18.75">
      <c r="A2" s="2"/>
      <c r="B2" s="564" t="s">
        <v>2</v>
      </c>
      <c r="C2" s="564"/>
      <c r="D2" s="564"/>
      <c r="E2" s="564"/>
      <c r="F2" s="564"/>
      <c r="G2" s="565"/>
      <c r="H2" s="564" t="s">
        <v>115</v>
      </c>
      <c r="I2" s="564"/>
      <c r="J2" s="564"/>
      <c r="K2" s="564"/>
      <c r="L2" s="564"/>
      <c r="M2" s="565"/>
      <c r="N2" s="3" t="s">
        <v>3</v>
      </c>
      <c r="O2" s="4"/>
    </row>
    <row r="3" spans="1:15" ht="18.75">
      <c r="A3" s="5" t="s">
        <v>4</v>
      </c>
      <c r="B3" s="566" t="s">
        <v>5</v>
      </c>
      <c r="C3" s="564"/>
      <c r="D3" s="564"/>
      <c r="E3" s="564"/>
      <c r="F3" s="565"/>
      <c r="G3" s="5" t="s">
        <v>3</v>
      </c>
      <c r="H3" s="566" t="s">
        <v>5</v>
      </c>
      <c r="I3" s="564"/>
      <c r="J3" s="564"/>
      <c r="K3" s="564"/>
      <c r="L3" s="565"/>
      <c r="M3" s="5" t="s">
        <v>3</v>
      </c>
      <c r="N3" s="6" t="s">
        <v>6</v>
      </c>
      <c r="O3" s="6" t="s">
        <v>7</v>
      </c>
    </row>
    <row r="4" spans="1:15" ht="18.75">
      <c r="A4" s="7"/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9"/>
      <c r="O4" s="10"/>
    </row>
    <row r="5" spans="1:15" ht="18.75">
      <c r="A5" s="3" t="s">
        <v>14</v>
      </c>
      <c r="B5" s="242">
        <f aca="true" t="shared" si="0" ref="B5:M5">B6+B16+B48+B50+B56+B83+B88+B112+B116</f>
        <v>11100.849999999999</v>
      </c>
      <c r="C5" s="242">
        <f t="shared" si="0"/>
        <v>79.25</v>
      </c>
      <c r="D5" s="242">
        <f t="shared" si="0"/>
        <v>113.06</v>
      </c>
      <c r="E5" s="242">
        <f t="shared" si="0"/>
        <v>2.5</v>
      </c>
      <c r="F5" s="242">
        <f t="shared" si="0"/>
        <v>310.54499999999996</v>
      </c>
      <c r="G5" s="242">
        <f t="shared" si="0"/>
        <v>11411.395</v>
      </c>
      <c r="H5" s="242">
        <f t="shared" si="0"/>
        <v>9988.82</v>
      </c>
      <c r="I5" s="242">
        <f t="shared" si="0"/>
        <v>25</v>
      </c>
      <c r="J5" s="242">
        <f t="shared" si="0"/>
        <v>86.21000000000001</v>
      </c>
      <c r="K5" s="242">
        <f t="shared" si="0"/>
        <v>6.67</v>
      </c>
      <c r="L5" s="242">
        <f t="shared" si="0"/>
        <v>193.49</v>
      </c>
      <c r="M5" s="242">
        <f t="shared" si="0"/>
        <v>3089.56</v>
      </c>
      <c r="N5" s="242">
        <f>G5+M5</f>
        <v>14500.955</v>
      </c>
      <c r="O5" s="242">
        <f>N5/2</f>
        <v>7250.4775</v>
      </c>
    </row>
    <row r="6" spans="1:15" ht="18.75">
      <c r="A6" s="27" t="s">
        <v>15</v>
      </c>
      <c r="B6" s="28">
        <f>SUM(B7:B9)</f>
        <v>1766.54</v>
      </c>
      <c r="C6" s="28">
        <f aca="true" t="shared" si="1" ref="C6:K6">SUM(C7:C9)</f>
        <v>0</v>
      </c>
      <c r="D6" s="28">
        <f t="shared" si="1"/>
        <v>0</v>
      </c>
      <c r="E6" s="28">
        <f t="shared" si="1"/>
        <v>0</v>
      </c>
      <c r="F6" s="28">
        <f t="shared" si="1"/>
        <v>0</v>
      </c>
      <c r="G6" s="28">
        <f>SUM(G7:G9)</f>
        <v>1766.54</v>
      </c>
      <c r="H6" s="28">
        <f t="shared" si="1"/>
        <v>1663.5900000000001</v>
      </c>
      <c r="I6" s="28">
        <f t="shared" si="1"/>
        <v>0</v>
      </c>
      <c r="J6" s="28">
        <f t="shared" si="1"/>
        <v>0</v>
      </c>
      <c r="K6" s="28">
        <f t="shared" si="1"/>
        <v>0</v>
      </c>
      <c r="L6" s="28">
        <f>SUM(L7:L9)</f>
        <v>0</v>
      </c>
      <c r="M6" s="28">
        <f>SUM(H6+L6)</f>
        <v>1663.5900000000001</v>
      </c>
      <c r="N6" s="28">
        <f>G6+M6</f>
        <v>3430.13</v>
      </c>
      <c r="O6" s="28">
        <f aca="true" t="shared" si="2" ref="O6:O23">N6/2</f>
        <v>1715.065</v>
      </c>
    </row>
    <row r="7" spans="1:15" ht="18.75">
      <c r="A7" s="118" t="s">
        <v>16</v>
      </c>
      <c r="B7" s="16">
        <v>351.21</v>
      </c>
      <c r="C7" s="16">
        <v>0</v>
      </c>
      <c r="D7" s="16">
        <v>0</v>
      </c>
      <c r="E7" s="16">
        <v>0</v>
      </c>
      <c r="F7" s="17">
        <f>SUM(C7:E7)*1.5</f>
        <v>0</v>
      </c>
      <c r="G7" s="17">
        <f>B7+F7</f>
        <v>351.21</v>
      </c>
      <c r="H7" s="16">
        <f>376.21+6.22+7.67</f>
        <v>390.1</v>
      </c>
      <c r="I7" s="16"/>
      <c r="J7" s="16"/>
      <c r="K7" s="16"/>
      <c r="L7" s="17">
        <f>SUM(I7:K7)*1.5</f>
        <v>0</v>
      </c>
      <c r="M7" s="17">
        <f aca="true" t="shared" si="3" ref="M7:M23">SUM(H7+L7)</f>
        <v>390.1</v>
      </c>
      <c r="N7" s="17">
        <f aca="true" t="shared" si="4" ref="N7:N23">G7+M7</f>
        <v>741.31</v>
      </c>
      <c r="O7" s="17">
        <f>N7/2</f>
        <v>370.655</v>
      </c>
    </row>
    <row r="8" spans="1:15" ht="18.75">
      <c r="A8" s="118" t="s">
        <v>17</v>
      </c>
      <c r="B8" s="16">
        <v>425.64</v>
      </c>
      <c r="C8" s="16">
        <v>0</v>
      </c>
      <c r="D8" s="16">
        <v>0</v>
      </c>
      <c r="E8" s="16">
        <v>0</v>
      </c>
      <c r="F8" s="17">
        <f>SUM(C8:E8)*1.5</f>
        <v>0</v>
      </c>
      <c r="G8" s="17">
        <f>B8+F8</f>
        <v>425.64</v>
      </c>
      <c r="H8" s="16">
        <v>314.72</v>
      </c>
      <c r="I8" s="16"/>
      <c r="J8" s="16"/>
      <c r="K8" s="16"/>
      <c r="L8" s="17">
        <f>SUM(I8:K8)*1.5</f>
        <v>0</v>
      </c>
      <c r="M8" s="17">
        <f t="shared" si="3"/>
        <v>314.72</v>
      </c>
      <c r="N8" s="17">
        <f t="shared" si="4"/>
        <v>740.36</v>
      </c>
      <c r="O8" s="17">
        <f t="shared" si="2"/>
        <v>370.18</v>
      </c>
    </row>
    <row r="9" spans="1:15" ht="18.75">
      <c r="A9" s="118" t="s">
        <v>18</v>
      </c>
      <c r="B9" s="16">
        <f aca="true" t="shared" si="5" ref="B9:G9">B10+B11+B12+B13+B15</f>
        <v>989.69</v>
      </c>
      <c r="C9" s="16">
        <f t="shared" si="5"/>
        <v>0</v>
      </c>
      <c r="D9" s="16">
        <f t="shared" si="5"/>
        <v>0</v>
      </c>
      <c r="E9" s="16">
        <f t="shared" si="5"/>
        <v>0</v>
      </c>
      <c r="F9" s="16">
        <f t="shared" si="5"/>
        <v>0</v>
      </c>
      <c r="G9" s="16">
        <f t="shared" si="5"/>
        <v>989.69</v>
      </c>
      <c r="H9" s="16">
        <v>958.77</v>
      </c>
      <c r="I9" s="16"/>
      <c r="J9" s="16"/>
      <c r="K9" s="16"/>
      <c r="L9" s="16">
        <f>L10+L11+L12+L13+L15</f>
        <v>0</v>
      </c>
      <c r="M9" s="16">
        <f t="shared" si="3"/>
        <v>958.77</v>
      </c>
      <c r="N9" s="16">
        <f t="shared" si="4"/>
        <v>1948.46</v>
      </c>
      <c r="O9" s="16">
        <f t="shared" si="2"/>
        <v>974.23</v>
      </c>
    </row>
    <row r="10" spans="1:15" ht="18.75">
      <c r="A10" s="18" t="s">
        <v>19</v>
      </c>
      <c r="B10" s="19">
        <v>849.74</v>
      </c>
      <c r="C10" s="19">
        <v>0</v>
      </c>
      <c r="D10" s="19">
        <v>0</v>
      </c>
      <c r="E10" s="19">
        <v>0</v>
      </c>
      <c r="F10" s="20">
        <f aca="true" t="shared" si="6" ref="F10:F15">SUM(C10:E10)*1.5</f>
        <v>0</v>
      </c>
      <c r="G10" s="21">
        <f aca="true" t="shared" si="7" ref="G10:G15">B10+F10</f>
        <v>849.74</v>
      </c>
      <c r="H10" s="235"/>
      <c r="I10" s="19"/>
      <c r="J10" s="19"/>
      <c r="K10" s="19"/>
      <c r="L10" s="20">
        <f aca="true" t="shared" si="8" ref="L10:L15">SUM(I10:K10)*1.5</f>
        <v>0</v>
      </c>
      <c r="M10" s="20">
        <f t="shared" si="3"/>
        <v>0</v>
      </c>
      <c r="N10" s="21">
        <f t="shared" si="4"/>
        <v>849.74</v>
      </c>
      <c r="O10" s="21">
        <f t="shared" si="2"/>
        <v>424.87</v>
      </c>
    </row>
    <row r="11" spans="1:15" ht="18.75">
      <c r="A11" s="18" t="s">
        <v>20</v>
      </c>
      <c r="B11" s="19">
        <v>0</v>
      </c>
      <c r="C11" s="19">
        <v>0</v>
      </c>
      <c r="D11" s="19">
        <v>0</v>
      </c>
      <c r="E11" s="19">
        <v>0</v>
      </c>
      <c r="F11" s="20">
        <f t="shared" si="6"/>
        <v>0</v>
      </c>
      <c r="G11" s="21">
        <f t="shared" si="7"/>
        <v>0</v>
      </c>
      <c r="H11" s="235"/>
      <c r="I11" s="19"/>
      <c r="J11" s="19"/>
      <c r="K11" s="19"/>
      <c r="L11" s="20">
        <f t="shared" si="8"/>
        <v>0</v>
      </c>
      <c r="M11" s="20">
        <f t="shared" si="3"/>
        <v>0</v>
      </c>
      <c r="N11" s="21">
        <f t="shared" si="4"/>
        <v>0</v>
      </c>
      <c r="O11" s="21">
        <f t="shared" si="2"/>
        <v>0</v>
      </c>
    </row>
    <row r="12" spans="1:15" ht="18.75">
      <c r="A12" s="18" t="s">
        <v>21</v>
      </c>
      <c r="B12" s="19">
        <v>139.95</v>
      </c>
      <c r="C12" s="19">
        <v>0</v>
      </c>
      <c r="D12" s="19">
        <v>0</v>
      </c>
      <c r="E12" s="19">
        <v>0</v>
      </c>
      <c r="F12" s="20">
        <f t="shared" si="6"/>
        <v>0</v>
      </c>
      <c r="G12" s="21">
        <f t="shared" si="7"/>
        <v>139.95</v>
      </c>
      <c r="H12" s="235"/>
      <c r="I12" s="19"/>
      <c r="J12" s="19"/>
      <c r="K12" s="19"/>
      <c r="L12" s="20">
        <f t="shared" si="8"/>
        <v>0</v>
      </c>
      <c r="M12" s="20">
        <f t="shared" si="3"/>
        <v>0</v>
      </c>
      <c r="N12" s="21">
        <f t="shared" si="4"/>
        <v>139.95</v>
      </c>
      <c r="O12" s="21">
        <f t="shared" si="2"/>
        <v>69.975</v>
      </c>
    </row>
    <row r="13" spans="1:15" ht="18.75">
      <c r="A13" s="18" t="s">
        <v>22</v>
      </c>
      <c r="B13" s="19">
        <v>0</v>
      </c>
      <c r="C13" s="19">
        <v>0</v>
      </c>
      <c r="D13" s="19">
        <v>0</v>
      </c>
      <c r="E13" s="19">
        <v>0</v>
      </c>
      <c r="F13" s="20">
        <f t="shared" si="6"/>
        <v>0</v>
      </c>
      <c r="G13" s="21">
        <f t="shared" si="7"/>
        <v>0</v>
      </c>
      <c r="H13" s="235"/>
      <c r="I13" s="19"/>
      <c r="J13" s="19"/>
      <c r="K13" s="19"/>
      <c r="L13" s="20">
        <f t="shared" si="8"/>
        <v>0</v>
      </c>
      <c r="M13" s="20">
        <f t="shared" si="3"/>
        <v>0</v>
      </c>
      <c r="N13" s="21">
        <f t="shared" si="4"/>
        <v>0</v>
      </c>
      <c r="O13" s="21">
        <f t="shared" si="2"/>
        <v>0</v>
      </c>
    </row>
    <row r="14" spans="1:15" ht="18.75">
      <c r="A14" s="22" t="s">
        <v>23</v>
      </c>
      <c r="B14" s="23">
        <v>0</v>
      </c>
      <c r="C14" s="23">
        <v>0</v>
      </c>
      <c r="D14" s="23">
        <v>0</v>
      </c>
      <c r="E14" s="23">
        <v>0</v>
      </c>
      <c r="F14" s="24">
        <f t="shared" si="6"/>
        <v>0</v>
      </c>
      <c r="G14" s="24">
        <f t="shared" si="7"/>
        <v>0</v>
      </c>
      <c r="H14" s="236"/>
      <c r="I14" s="23"/>
      <c r="J14" s="23"/>
      <c r="K14" s="23"/>
      <c r="L14" s="24">
        <f t="shared" si="8"/>
        <v>0</v>
      </c>
      <c r="M14" s="24">
        <f t="shared" si="3"/>
        <v>0</v>
      </c>
      <c r="N14" s="24">
        <f t="shared" si="4"/>
        <v>0</v>
      </c>
      <c r="O14" s="24">
        <f t="shared" si="2"/>
        <v>0</v>
      </c>
    </row>
    <row r="15" spans="1:15" ht="18.75" hidden="1">
      <c r="A15" s="25" t="s">
        <v>24</v>
      </c>
      <c r="B15" s="26">
        <v>0</v>
      </c>
      <c r="C15" s="26">
        <v>0</v>
      </c>
      <c r="D15" s="26">
        <v>0</v>
      </c>
      <c r="E15" s="26">
        <v>0</v>
      </c>
      <c r="F15" s="20">
        <f t="shared" si="6"/>
        <v>0</v>
      </c>
      <c r="G15" s="20">
        <f t="shared" si="7"/>
        <v>0</v>
      </c>
      <c r="H15" s="237"/>
      <c r="I15" s="26"/>
      <c r="J15" s="26"/>
      <c r="K15" s="26"/>
      <c r="L15" s="20">
        <f t="shared" si="8"/>
        <v>0</v>
      </c>
      <c r="M15" s="20">
        <f t="shared" si="3"/>
        <v>0</v>
      </c>
      <c r="N15" s="20">
        <f t="shared" si="4"/>
        <v>0</v>
      </c>
      <c r="O15" s="20">
        <f t="shared" si="2"/>
        <v>0</v>
      </c>
    </row>
    <row r="16" spans="1:15" ht="18.75">
      <c r="A16" s="27" t="s">
        <v>25</v>
      </c>
      <c r="B16" s="28">
        <f aca="true" t="shared" si="9" ref="B16:L16">B17+B18+B24+B28+B33+B38+B44</f>
        <v>1708.69</v>
      </c>
      <c r="C16" s="28">
        <f t="shared" si="9"/>
        <v>79.25</v>
      </c>
      <c r="D16" s="28">
        <f t="shared" si="9"/>
        <v>73.75</v>
      </c>
      <c r="E16" s="28">
        <f t="shared" si="9"/>
        <v>0</v>
      </c>
      <c r="F16" s="28">
        <f t="shared" si="9"/>
        <v>229.5</v>
      </c>
      <c r="G16" s="28">
        <f t="shared" si="9"/>
        <v>1938.19</v>
      </c>
      <c r="H16" s="28">
        <f t="shared" si="9"/>
        <v>1354.8999999999999</v>
      </c>
      <c r="I16" s="28">
        <f t="shared" si="9"/>
        <v>25</v>
      </c>
      <c r="J16" s="28">
        <f t="shared" si="9"/>
        <v>22.380000000000003</v>
      </c>
      <c r="K16" s="28">
        <f t="shared" si="9"/>
        <v>0</v>
      </c>
      <c r="L16" s="28">
        <f t="shared" si="9"/>
        <v>71.07</v>
      </c>
      <c r="M16" s="28">
        <f t="shared" si="3"/>
        <v>1425.9699999999998</v>
      </c>
      <c r="N16" s="28">
        <f t="shared" si="4"/>
        <v>3364.16</v>
      </c>
      <c r="O16" s="28">
        <f t="shared" si="2"/>
        <v>1682.08</v>
      </c>
    </row>
    <row r="17" spans="1:15" ht="18.75">
      <c r="A17" s="118" t="s">
        <v>26</v>
      </c>
      <c r="B17" s="16">
        <v>46.17</v>
      </c>
      <c r="C17" s="16">
        <v>0</v>
      </c>
      <c r="D17" s="16">
        <v>10</v>
      </c>
      <c r="E17" s="16">
        <v>0</v>
      </c>
      <c r="F17" s="16">
        <f>SUM(C17:E17)*1.5</f>
        <v>15</v>
      </c>
      <c r="G17" s="16">
        <f>B17+F17</f>
        <v>61.17</v>
      </c>
      <c r="H17" s="16">
        <v>758.28</v>
      </c>
      <c r="I17" s="16"/>
      <c r="J17" s="16"/>
      <c r="K17" s="16"/>
      <c r="L17" s="16">
        <f>SUM(I17:K17)*1.5</f>
        <v>0</v>
      </c>
      <c r="M17" s="16">
        <f t="shared" si="3"/>
        <v>758.28</v>
      </c>
      <c r="N17" s="16">
        <f t="shared" si="4"/>
        <v>819.4499999999999</v>
      </c>
      <c r="O17" s="16">
        <f t="shared" si="2"/>
        <v>409.72499999999997</v>
      </c>
    </row>
    <row r="18" spans="1:15" ht="18.75">
      <c r="A18" s="260" t="s">
        <v>117</v>
      </c>
      <c r="B18" s="17">
        <f>B19+B21+B22+B23</f>
        <v>547.23</v>
      </c>
      <c r="C18" s="17">
        <f aca="true" t="shared" si="10" ref="C18:K18">C19+C21+C22+C23</f>
        <v>16.25</v>
      </c>
      <c r="D18" s="17">
        <f t="shared" si="10"/>
        <v>3.25</v>
      </c>
      <c r="E18" s="17">
        <f t="shared" si="10"/>
        <v>0</v>
      </c>
      <c r="F18" s="17">
        <f t="shared" si="10"/>
        <v>29.25</v>
      </c>
      <c r="G18" s="17">
        <f t="shared" si="10"/>
        <v>576.48</v>
      </c>
      <c r="H18" s="17">
        <f t="shared" si="10"/>
        <v>105.28</v>
      </c>
      <c r="I18" s="17">
        <f t="shared" si="10"/>
        <v>25</v>
      </c>
      <c r="J18" s="17">
        <f t="shared" si="10"/>
        <v>9.05</v>
      </c>
      <c r="K18" s="17">
        <f t="shared" si="10"/>
        <v>0</v>
      </c>
      <c r="L18" s="16">
        <f aca="true" t="shared" si="11" ref="L18:L23">SUM(I18:K18)*1.5</f>
        <v>51.074999999999996</v>
      </c>
      <c r="M18" s="16">
        <f t="shared" si="3"/>
        <v>156.355</v>
      </c>
      <c r="N18" s="17">
        <f t="shared" si="4"/>
        <v>732.835</v>
      </c>
      <c r="O18" s="17">
        <f t="shared" si="2"/>
        <v>366.4175</v>
      </c>
    </row>
    <row r="19" spans="1:15" ht="18.75">
      <c r="A19" s="261" t="s">
        <v>28</v>
      </c>
      <c r="B19" s="19">
        <v>0</v>
      </c>
      <c r="C19" s="19">
        <v>0</v>
      </c>
      <c r="D19" s="19">
        <v>3</v>
      </c>
      <c r="E19" s="19">
        <v>0</v>
      </c>
      <c r="F19" s="21">
        <f>SUM(C19:E19)*1.5</f>
        <v>4.5</v>
      </c>
      <c r="G19" s="30">
        <f>B19+F19</f>
        <v>4.5</v>
      </c>
      <c r="H19" s="19"/>
      <c r="I19" s="19"/>
      <c r="J19" s="19">
        <v>4.33</v>
      </c>
      <c r="K19" s="19"/>
      <c r="L19" s="19">
        <f t="shared" si="11"/>
        <v>6.495</v>
      </c>
      <c r="M19" s="19">
        <f t="shared" si="3"/>
        <v>6.495</v>
      </c>
      <c r="N19" s="30">
        <f t="shared" si="4"/>
        <v>10.995000000000001</v>
      </c>
      <c r="O19" s="30">
        <f t="shared" si="2"/>
        <v>5.4975000000000005</v>
      </c>
    </row>
    <row r="20" spans="1:15" ht="18.75">
      <c r="A20" s="262" t="s">
        <v>23</v>
      </c>
      <c r="B20" s="236">
        <v>0</v>
      </c>
      <c r="C20" s="236">
        <v>0</v>
      </c>
      <c r="D20" s="236">
        <v>1.5</v>
      </c>
      <c r="E20" s="23">
        <v>0</v>
      </c>
      <c r="F20" s="24">
        <f>SUM(C20:E20)*1.5</f>
        <v>2.25</v>
      </c>
      <c r="G20" s="31">
        <f>B20+F20</f>
        <v>2.25</v>
      </c>
      <c r="H20" s="23"/>
      <c r="I20" s="23"/>
      <c r="J20" s="23"/>
      <c r="K20" s="23"/>
      <c r="L20" s="23">
        <f t="shared" si="11"/>
        <v>0</v>
      </c>
      <c r="M20" s="23">
        <f t="shared" si="3"/>
        <v>0</v>
      </c>
      <c r="N20" s="31">
        <f t="shared" si="4"/>
        <v>2.25</v>
      </c>
      <c r="O20" s="31">
        <f t="shared" si="2"/>
        <v>1.125</v>
      </c>
    </row>
    <row r="21" spans="1:15" ht="18.75">
      <c r="A21" s="263" t="s">
        <v>29</v>
      </c>
      <c r="B21" s="33">
        <v>445.67</v>
      </c>
      <c r="C21" s="33">
        <v>16.25</v>
      </c>
      <c r="D21" s="33">
        <v>0.25</v>
      </c>
      <c r="E21" s="33">
        <v>0</v>
      </c>
      <c r="F21" s="34">
        <f>SUM(C21:E21)*1.5</f>
        <v>24.75</v>
      </c>
      <c r="G21" s="35">
        <f>B21+F21</f>
        <v>470.42</v>
      </c>
      <c r="H21" s="33"/>
      <c r="I21" s="33">
        <v>25</v>
      </c>
      <c r="J21" s="33">
        <v>4.72</v>
      </c>
      <c r="K21" s="33"/>
      <c r="L21" s="33">
        <f t="shared" si="11"/>
        <v>44.58</v>
      </c>
      <c r="M21" s="33">
        <f t="shared" si="3"/>
        <v>44.58</v>
      </c>
      <c r="N21" s="35">
        <f t="shared" si="4"/>
        <v>515</v>
      </c>
      <c r="O21" s="35">
        <f t="shared" si="2"/>
        <v>257.5</v>
      </c>
    </row>
    <row r="22" spans="1:15" ht="18.75">
      <c r="A22" s="263" t="s">
        <v>30</v>
      </c>
      <c r="B22" s="33">
        <v>0</v>
      </c>
      <c r="C22" s="33">
        <v>0</v>
      </c>
      <c r="D22" s="33">
        <v>0</v>
      </c>
      <c r="E22" s="33">
        <v>0</v>
      </c>
      <c r="F22" s="34">
        <f>SUM(C22:E22)*1.5</f>
        <v>0</v>
      </c>
      <c r="G22" s="35">
        <f>B22+F22</f>
        <v>0</v>
      </c>
      <c r="H22" s="33"/>
      <c r="I22" s="33"/>
      <c r="J22" s="33"/>
      <c r="K22" s="33"/>
      <c r="L22" s="33">
        <f t="shared" si="11"/>
        <v>0</v>
      </c>
      <c r="M22" s="33">
        <f t="shared" si="3"/>
        <v>0</v>
      </c>
      <c r="N22" s="35">
        <f t="shared" si="4"/>
        <v>0</v>
      </c>
      <c r="O22" s="35">
        <f t="shared" si="2"/>
        <v>0</v>
      </c>
    </row>
    <row r="23" spans="1:15" ht="18.75">
      <c r="A23" s="261" t="s">
        <v>31</v>
      </c>
      <c r="B23" s="19">
        <v>101.56</v>
      </c>
      <c r="C23" s="19">
        <v>0</v>
      </c>
      <c r="D23" s="19">
        <v>0</v>
      </c>
      <c r="E23" s="19">
        <v>0</v>
      </c>
      <c r="F23" s="20">
        <f>SUM(C23:E23)*1.5</f>
        <v>0</v>
      </c>
      <c r="G23" s="53">
        <f>B23+F23</f>
        <v>101.56</v>
      </c>
      <c r="H23" s="19">
        <v>105.28</v>
      </c>
      <c r="I23" s="19"/>
      <c r="J23" s="19"/>
      <c r="K23" s="19"/>
      <c r="L23" s="19">
        <f t="shared" si="11"/>
        <v>0</v>
      </c>
      <c r="M23" s="19">
        <f t="shared" si="3"/>
        <v>105.28</v>
      </c>
      <c r="N23" s="53">
        <f t="shared" si="4"/>
        <v>206.84</v>
      </c>
      <c r="O23" s="53">
        <f t="shared" si="2"/>
        <v>103.42</v>
      </c>
    </row>
    <row r="24" spans="1:15" ht="18.75">
      <c r="A24" s="260" t="s">
        <v>118</v>
      </c>
      <c r="B24" s="17">
        <f aca="true" t="shared" si="12" ref="B24:G24">B25+B27</f>
        <v>261.9</v>
      </c>
      <c r="C24" s="17">
        <f t="shared" si="12"/>
        <v>0</v>
      </c>
      <c r="D24" s="17">
        <f t="shared" si="12"/>
        <v>0</v>
      </c>
      <c r="E24" s="17">
        <f t="shared" si="12"/>
        <v>0</v>
      </c>
      <c r="F24" s="17">
        <f t="shared" si="12"/>
        <v>0</v>
      </c>
      <c r="G24" s="17">
        <f t="shared" si="12"/>
        <v>261.9</v>
      </c>
      <c r="H24" s="17">
        <f>SUM(H25+H26+H27)</f>
        <v>195.33999999999997</v>
      </c>
      <c r="I24" s="17">
        <f>SUM(I25)</f>
        <v>0</v>
      </c>
      <c r="J24" s="17">
        <f>SUM(J25)</f>
        <v>0</v>
      </c>
      <c r="K24" s="17">
        <f>SUM(K25)</f>
        <v>0</v>
      </c>
      <c r="L24" s="17">
        <f>SUM(L25)</f>
        <v>0</v>
      </c>
      <c r="M24" s="17">
        <f>SUM(M25)</f>
        <v>0</v>
      </c>
      <c r="N24" s="17">
        <f>G24+M24</f>
        <v>261.9</v>
      </c>
      <c r="O24" s="17">
        <f>N24/2</f>
        <v>130.95</v>
      </c>
    </row>
    <row r="25" spans="1:15" ht="18.75">
      <c r="A25" s="261" t="s">
        <v>33</v>
      </c>
      <c r="B25" s="19">
        <v>182.68</v>
      </c>
      <c r="C25" s="19">
        <v>0</v>
      </c>
      <c r="D25" s="19">
        <v>0</v>
      </c>
      <c r="E25" s="19">
        <v>0</v>
      </c>
      <c r="F25" s="21">
        <f>SUM(C25:E25)*1.5</f>
        <v>0</v>
      </c>
      <c r="G25" s="30">
        <f>B25+F25</f>
        <v>182.68</v>
      </c>
      <c r="H25" s="19">
        <f>98.33+80.57</f>
        <v>178.89999999999998</v>
      </c>
      <c r="I25" s="19"/>
      <c r="J25" s="19"/>
      <c r="K25" s="19"/>
      <c r="L25" s="21"/>
      <c r="M25" s="30"/>
      <c r="N25" s="30">
        <f aca="true" t="shared" si="13" ref="N25:N43">G25+M25</f>
        <v>182.68</v>
      </c>
      <c r="O25" s="30">
        <f aca="true" t="shared" si="14" ref="O25:O43">N25/2</f>
        <v>91.34</v>
      </c>
    </row>
    <row r="26" spans="1:15" ht="18.75">
      <c r="A26" s="262" t="s">
        <v>23</v>
      </c>
      <c r="B26" s="23">
        <v>0</v>
      </c>
      <c r="C26" s="23">
        <v>0</v>
      </c>
      <c r="D26" s="23"/>
      <c r="E26" s="23">
        <v>0</v>
      </c>
      <c r="F26" s="24">
        <f>SUM(C26:E26)*1.5</f>
        <v>0</v>
      </c>
      <c r="G26" s="31">
        <f>B26+F26</f>
        <v>0</v>
      </c>
      <c r="H26" s="23"/>
      <c r="I26" s="23"/>
      <c r="J26" s="23"/>
      <c r="K26" s="23"/>
      <c r="L26" s="24"/>
      <c r="M26" s="31"/>
      <c r="N26" s="31">
        <f t="shared" si="13"/>
        <v>0</v>
      </c>
      <c r="O26" s="31">
        <f t="shared" si="14"/>
        <v>0</v>
      </c>
    </row>
    <row r="27" spans="1:15" ht="18.75">
      <c r="A27" s="263" t="s">
        <v>34</v>
      </c>
      <c r="B27" s="33">
        <v>79.22</v>
      </c>
      <c r="C27" s="33">
        <v>0</v>
      </c>
      <c r="D27" s="33">
        <v>0</v>
      </c>
      <c r="E27" s="33">
        <v>0</v>
      </c>
      <c r="F27" s="34">
        <f>SUM(C27:E27)*1.5</f>
        <v>0</v>
      </c>
      <c r="G27" s="35">
        <f>B27+F27</f>
        <v>79.22</v>
      </c>
      <c r="H27" s="33">
        <v>16.44</v>
      </c>
      <c r="I27" s="33"/>
      <c r="J27" s="33"/>
      <c r="K27" s="33"/>
      <c r="L27" s="34"/>
      <c r="M27" s="35"/>
      <c r="N27" s="35">
        <f t="shared" si="13"/>
        <v>79.22</v>
      </c>
      <c r="O27" s="35">
        <f t="shared" si="14"/>
        <v>39.61</v>
      </c>
    </row>
    <row r="28" spans="1:15" ht="18.75">
      <c r="A28" s="260" t="s">
        <v>119</v>
      </c>
      <c r="B28" s="17">
        <f aca="true" t="shared" si="15" ref="B28:G28">B29+B31+B32</f>
        <v>231.69</v>
      </c>
      <c r="C28" s="17">
        <f t="shared" si="15"/>
        <v>15.75</v>
      </c>
      <c r="D28" s="17">
        <f t="shared" si="15"/>
        <v>14.5</v>
      </c>
      <c r="E28" s="17">
        <f t="shared" si="15"/>
        <v>0</v>
      </c>
      <c r="F28" s="17">
        <f t="shared" si="15"/>
        <v>45.375</v>
      </c>
      <c r="G28" s="17">
        <f t="shared" si="15"/>
        <v>277.065</v>
      </c>
      <c r="H28" s="17"/>
      <c r="I28" s="17"/>
      <c r="J28" s="17"/>
      <c r="K28" s="17"/>
      <c r="L28" s="17"/>
      <c r="M28" s="17"/>
      <c r="N28" s="17">
        <f t="shared" si="13"/>
        <v>277.065</v>
      </c>
      <c r="O28" s="17">
        <f t="shared" si="14"/>
        <v>138.5325</v>
      </c>
    </row>
    <row r="29" spans="1:15" ht="18.75">
      <c r="A29" s="261" t="s">
        <v>36</v>
      </c>
      <c r="B29" s="19">
        <v>63.79</v>
      </c>
      <c r="C29" s="19">
        <v>0</v>
      </c>
      <c r="D29" s="19">
        <v>13</v>
      </c>
      <c r="E29" s="19">
        <v>0</v>
      </c>
      <c r="F29" s="21">
        <f>SUM(C29:E29)*1.5</f>
        <v>19.5</v>
      </c>
      <c r="G29" s="30">
        <f>B29+F29</f>
        <v>83.28999999999999</v>
      </c>
      <c r="H29" s="19">
        <f>104.83+56.33</f>
        <v>161.16</v>
      </c>
      <c r="I29" s="19"/>
      <c r="J29" s="19">
        <v>15</v>
      </c>
      <c r="K29" s="19"/>
      <c r="L29" s="21">
        <f>SUM(I29:K29)*1.5</f>
        <v>22.5</v>
      </c>
      <c r="M29" s="30"/>
      <c r="N29" s="30">
        <f t="shared" si="13"/>
        <v>83.28999999999999</v>
      </c>
      <c r="O29" s="30">
        <f t="shared" si="14"/>
        <v>41.644999999999996</v>
      </c>
    </row>
    <row r="30" spans="1:15" ht="18.75">
      <c r="A30" s="262" t="s">
        <v>23</v>
      </c>
      <c r="B30" s="23">
        <v>0</v>
      </c>
      <c r="C30" s="23">
        <v>0</v>
      </c>
      <c r="D30" s="23">
        <v>5.5</v>
      </c>
      <c r="E30" s="23">
        <v>0</v>
      </c>
      <c r="F30" s="24">
        <f>SUM(C30:E30)*1.5</f>
        <v>8.25</v>
      </c>
      <c r="G30" s="31">
        <f>B30+F30</f>
        <v>8.25</v>
      </c>
      <c r="H30" s="23"/>
      <c r="I30" s="23"/>
      <c r="J30" s="23"/>
      <c r="K30" s="23"/>
      <c r="L30" s="24"/>
      <c r="M30" s="31"/>
      <c r="N30" s="31">
        <f t="shared" si="13"/>
        <v>8.25</v>
      </c>
      <c r="O30" s="31">
        <f t="shared" si="14"/>
        <v>4.125</v>
      </c>
    </row>
    <row r="31" spans="1:15" ht="18.75">
      <c r="A31" s="263" t="s">
        <v>34</v>
      </c>
      <c r="B31" s="33">
        <v>75.17</v>
      </c>
      <c r="C31" s="33">
        <v>15.75</v>
      </c>
      <c r="D31" s="33">
        <v>1.5</v>
      </c>
      <c r="E31" s="33">
        <v>0</v>
      </c>
      <c r="F31" s="34">
        <f>SUM(C31:E31)*1.5</f>
        <v>25.875</v>
      </c>
      <c r="G31" s="35">
        <f>B31+F31</f>
        <v>101.045</v>
      </c>
      <c r="H31" s="33"/>
      <c r="I31" s="33"/>
      <c r="J31" s="33"/>
      <c r="K31" s="33"/>
      <c r="L31" s="34"/>
      <c r="M31" s="35"/>
      <c r="N31" s="35">
        <f t="shared" si="13"/>
        <v>101.045</v>
      </c>
      <c r="O31" s="35">
        <f t="shared" si="14"/>
        <v>50.5225</v>
      </c>
    </row>
    <row r="32" spans="1:15" ht="18.75">
      <c r="A32" s="261" t="s">
        <v>37</v>
      </c>
      <c r="B32" s="19">
        <v>92.73</v>
      </c>
      <c r="C32" s="19">
        <v>0</v>
      </c>
      <c r="D32" s="19">
        <v>0</v>
      </c>
      <c r="E32" s="19">
        <v>0</v>
      </c>
      <c r="F32" s="21">
        <f>SUM(C32:E32)*1.5</f>
        <v>0</v>
      </c>
      <c r="G32" s="30">
        <f>B32+F32</f>
        <v>92.73</v>
      </c>
      <c r="H32" s="19">
        <v>56.33</v>
      </c>
      <c r="I32" s="19"/>
      <c r="J32" s="19"/>
      <c r="K32" s="19"/>
      <c r="L32" s="21"/>
      <c r="M32" s="30"/>
      <c r="N32" s="30">
        <f t="shared" si="13"/>
        <v>92.73</v>
      </c>
      <c r="O32" s="30">
        <f t="shared" si="14"/>
        <v>46.365</v>
      </c>
    </row>
    <row r="33" spans="1:15" ht="18.75">
      <c r="A33" s="260" t="s">
        <v>120</v>
      </c>
      <c r="B33" s="17">
        <f aca="true" t="shared" si="16" ref="B33:H33">SUM(B34:B36)</f>
        <v>270.18</v>
      </c>
      <c r="C33" s="17">
        <f t="shared" si="16"/>
        <v>15.75</v>
      </c>
      <c r="D33" s="17">
        <f t="shared" si="16"/>
        <v>17.25</v>
      </c>
      <c r="E33" s="17">
        <f t="shared" si="16"/>
        <v>0</v>
      </c>
      <c r="F33" s="17">
        <f t="shared" si="16"/>
        <v>49.5</v>
      </c>
      <c r="G33" s="17">
        <f t="shared" si="16"/>
        <v>319.68</v>
      </c>
      <c r="H33" s="17">
        <f t="shared" si="16"/>
        <v>158.43999999999997</v>
      </c>
      <c r="I33" s="17"/>
      <c r="J33" s="17"/>
      <c r="K33" s="17"/>
      <c r="L33" s="17"/>
      <c r="M33" s="17"/>
      <c r="N33" s="17">
        <f t="shared" si="13"/>
        <v>319.68</v>
      </c>
      <c r="O33" s="17">
        <f t="shared" si="14"/>
        <v>159.84</v>
      </c>
    </row>
    <row r="34" spans="1:15" ht="18.75">
      <c r="A34" s="261" t="s">
        <v>39</v>
      </c>
      <c r="B34" s="19">
        <v>159.68</v>
      </c>
      <c r="C34" s="19">
        <v>0</v>
      </c>
      <c r="D34" s="19">
        <v>4.5</v>
      </c>
      <c r="E34" s="19">
        <v>0</v>
      </c>
      <c r="F34" s="21">
        <f>SUM(C34:E34)*1.5</f>
        <v>6.75</v>
      </c>
      <c r="G34" s="30">
        <f>B34+F34</f>
        <v>166.43</v>
      </c>
      <c r="H34" s="19">
        <f>77.5+52.33+17.83</f>
        <v>147.65999999999997</v>
      </c>
      <c r="I34" s="19"/>
      <c r="J34" s="19"/>
      <c r="K34" s="19"/>
      <c r="L34" s="21"/>
      <c r="M34" s="30"/>
      <c r="N34" s="30">
        <f t="shared" si="13"/>
        <v>166.43</v>
      </c>
      <c r="O34" s="30">
        <f t="shared" si="14"/>
        <v>83.215</v>
      </c>
    </row>
    <row r="35" spans="1:15" ht="18.75">
      <c r="A35" s="263" t="s">
        <v>29</v>
      </c>
      <c r="B35" s="44">
        <v>110.5</v>
      </c>
      <c r="C35" s="44">
        <v>15.75</v>
      </c>
      <c r="D35" s="44">
        <v>0</v>
      </c>
      <c r="E35" s="44">
        <v>0</v>
      </c>
      <c r="F35" s="34">
        <f>SUM(C35:E35)*1.5</f>
        <v>23.625</v>
      </c>
      <c r="G35" s="35">
        <f>B35+F35</f>
        <v>134.125</v>
      </c>
      <c r="H35" s="44">
        <v>10.78</v>
      </c>
      <c r="I35" s="44"/>
      <c r="J35" s="44"/>
      <c r="K35" s="44"/>
      <c r="L35" s="34"/>
      <c r="M35" s="35"/>
      <c r="N35" s="35">
        <f t="shared" si="13"/>
        <v>134.125</v>
      </c>
      <c r="O35" s="35">
        <f t="shared" si="14"/>
        <v>67.0625</v>
      </c>
    </row>
    <row r="36" spans="1:15" ht="18.75">
      <c r="A36" s="261" t="s">
        <v>40</v>
      </c>
      <c r="B36" s="46">
        <v>0</v>
      </c>
      <c r="C36" s="46">
        <v>0</v>
      </c>
      <c r="D36" s="46">
        <v>12.75</v>
      </c>
      <c r="E36" s="46">
        <v>0</v>
      </c>
      <c r="F36" s="21">
        <f>SUM(C36:E36)*1.5</f>
        <v>19.125</v>
      </c>
      <c r="G36" s="30">
        <f>B36+F36</f>
        <v>19.125</v>
      </c>
      <c r="H36" s="46"/>
      <c r="I36" s="46"/>
      <c r="J36" s="46">
        <v>10</v>
      </c>
      <c r="K36" s="46"/>
      <c r="L36" s="46">
        <f>SUM(I36:K36)*1.5</f>
        <v>15</v>
      </c>
      <c r="M36" s="30"/>
      <c r="N36" s="30">
        <f t="shared" si="13"/>
        <v>19.125</v>
      </c>
      <c r="O36" s="30">
        <f t="shared" si="14"/>
        <v>9.5625</v>
      </c>
    </row>
    <row r="37" spans="1:15" ht="18.75">
      <c r="A37" s="262" t="s">
        <v>23</v>
      </c>
      <c r="B37" s="48">
        <v>0</v>
      </c>
      <c r="C37" s="48">
        <v>0</v>
      </c>
      <c r="D37" s="48"/>
      <c r="E37" s="48">
        <v>0</v>
      </c>
      <c r="F37" s="24">
        <f>SUM(C37:E37)*1.5</f>
        <v>0</v>
      </c>
      <c r="G37" s="31">
        <f>B37+F37</f>
        <v>0</v>
      </c>
      <c r="H37" s="48"/>
      <c r="I37" s="48"/>
      <c r="J37" s="48"/>
      <c r="K37" s="48"/>
      <c r="L37" s="48">
        <f aca="true" t="shared" si="17" ref="L37:L43">SUM(I37:K37)*1.5</f>
        <v>0</v>
      </c>
      <c r="M37" s="31"/>
      <c r="N37" s="31">
        <f t="shared" si="13"/>
        <v>0</v>
      </c>
      <c r="O37" s="31">
        <f t="shared" si="14"/>
        <v>0</v>
      </c>
    </row>
    <row r="38" spans="1:15" ht="18.75">
      <c r="A38" s="260" t="s">
        <v>121</v>
      </c>
      <c r="B38" s="51">
        <f aca="true" t="shared" si="18" ref="B38:G38">SUM(B39:B42)</f>
        <v>210.51000000000002</v>
      </c>
      <c r="C38" s="51">
        <f t="shared" si="18"/>
        <v>15.75</v>
      </c>
      <c r="D38" s="51">
        <f t="shared" si="18"/>
        <v>22.25</v>
      </c>
      <c r="E38" s="51">
        <f t="shared" si="18"/>
        <v>0</v>
      </c>
      <c r="F38" s="51">
        <f t="shared" si="18"/>
        <v>57</v>
      </c>
      <c r="G38" s="51">
        <f t="shared" si="18"/>
        <v>267.51</v>
      </c>
      <c r="H38" s="51"/>
      <c r="I38" s="51"/>
      <c r="J38" s="51"/>
      <c r="K38" s="51"/>
      <c r="L38" s="51">
        <f t="shared" si="17"/>
        <v>0</v>
      </c>
      <c r="M38" s="51"/>
      <c r="N38" s="51">
        <f t="shared" si="13"/>
        <v>267.51</v>
      </c>
      <c r="O38" s="51">
        <f t="shared" si="14"/>
        <v>133.755</v>
      </c>
    </row>
    <row r="39" spans="1:15" ht="18.75">
      <c r="A39" s="263" t="s">
        <v>29</v>
      </c>
      <c r="B39" s="33">
        <v>129.33</v>
      </c>
      <c r="C39" s="33">
        <v>15.75</v>
      </c>
      <c r="D39" s="33">
        <v>0</v>
      </c>
      <c r="E39" s="33">
        <v>0</v>
      </c>
      <c r="F39" s="34">
        <f>SUM(C39:E39)*1.5</f>
        <v>23.625</v>
      </c>
      <c r="G39" s="52">
        <f>B39+F39</f>
        <v>152.955</v>
      </c>
      <c r="H39" s="33"/>
      <c r="I39" s="33"/>
      <c r="J39" s="33"/>
      <c r="K39" s="33"/>
      <c r="L39" s="33">
        <f t="shared" si="17"/>
        <v>0</v>
      </c>
      <c r="M39" s="52"/>
      <c r="N39" s="52">
        <f t="shared" si="13"/>
        <v>152.955</v>
      </c>
      <c r="O39" s="52">
        <f t="shared" si="14"/>
        <v>76.4775</v>
      </c>
    </row>
    <row r="40" spans="1:15" ht="18.75">
      <c r="A40" s="261" t="s">
        <v>42</v>
      </c>
      <c r="B40" s="19">
        <v>81.18</v>
      </c>
      <c r="C40" s="19">
        <v>0</v>
      </c>
      <c r="D40" s="19">
        <v>0</v>
      </c>
      <c r="E40" s="19">
        <v>0</v>
      </c>
      <c r="F40" s="21">
        <f>SUM(C40:E40)*1.5</f>
        <v>0</v>
      </c>
      <c r="G40" s="53">
        <f>B40+F40</f>
        <v>81.18</v>
      </c>
      <c r="H40" s="19">
        <v>60.17</v>
      </c>
      <c r="I40" s="19"/>
      <c r="J40" s="19"/>
      <c r="K40" s="19"/>
      <c r="L40" s="19">
        <f t="shared" si="17"/>
        <v>0</v>
      </c>
      <c r="M40" s="53"/>
      <c r="N40" s="53">
        <f t="shared" si="13"/>
        <v>81.18</v>
      </c>
      <c r="O40" s="53">
        <f t="shared" si="14"/>
        <v>40.59</v>
      </c>
    </row>
    <row r="41" spans="1:15" ht="18.75">
      <c r="A41" s="261" t="s">
        <v>43</v>
      </c>
      <c r="B41" s="19">
        <v>0</v>
      </c>
      <c r="C41" s="19">
        <v>0</v>
      </c>
      <c r="D41" s="19">
        <v>14.5</v>
      </c>
      <c r="E41" s="19">
        <v>0</v>
      </c>
      <c r="F41" s="21">
        <f>SUM(C41:E41)*1.5</f>
        <v>21.75</v>
      </c>
      <c r="G41" s="53">
        <f>B41+F41</f>
        <v>21.75</v>
      </c>
      <c r="H41" s="19"/>
      <c r="I41" s="19"/>
      <c r="J41" s="19">
        <v>1.67</v>
      </c>
      <c r="K41" s="19"/>
      <c r="L41" s="19">
        <f t="shared" si="17"/>
        <v>2.505</v>
      </c>
      <c r="M41" s="53"/>
      <c r="N41" s="53">
        <f t="shared" si="13"/>
        <v>21.75</v>
      </c>
      <c r="O41" s="53">
        <f t="shared" si="14"/>
        <v>10.875</v>
      </c>
    </row>
    <row r="42" spans="1:15" ht="18.75">
      <c r="A42" s="261" t="s">
        <v>44</v>
      </c>
      <c r="B42" s="19">
        <v>0</v>
      </c>
      <c r="C42" s="19">
        <v>0</v>
      </c>
      <c r="D42" s="19">
        <v>7.75</v>
      </c>
      <c r="E42" s="19">
        <v>0</v>
      </c>
      <c r="F42" s="21">
        <f>SUM(C42:E42)*1.5</f>
        <v>11.625</v>
      </c>
      <c r="G42" s="53">
        <f>B42+F42</f>
        <v>11.625</v>
      </c>
      <c r="H42" s="19"/>
      <c r="I42" s="19"/>
      <c r="J42" s="19">
        <v>17.78</v>
      </c>
      <c r="K42" s="19"/>
      <c r="L42" s="19">
        <f t="shared" si="17"/>
        <v>26.67</v>
      </c>
      <c r="M42" s="53"/>
      <c r="N42" s="53">
        <f t="shared" si="13"/>
        <v>11.625</v>
      </c>
      <c r="O42" s="53">
        <f t="shared" si="14"/>
        <v>5.8125</v>
      </c>
    </row>
    <row r="43" spans="1:15" ht="18.75">
      <c r="A43" s="262" t="s">
        <v>23</v>
      </c>
      <c r="B43" s="23">
        <v>0</v>
      </c>
      <c r="C43" s="23">
        <v>0</v>
      </c>
      <c r="D43" s="23">
        <v>0</v>
      </c>
      <c r="E43" s="23">
        <v>0</v>
      </c>
      <c r="F43" s="24">
        <f>SUM(C43:E43)*1.5</f>
        <v>0</v>
      </c>
      <c r="G43" s="63">
        <f>B43+F43</f>
        <v>0</v>
      </c>
      <c r="H43" s="23"/>
      <c r="I43" s="23"/>
      <c r="J43" s="23"/>
      <c r="K43" s="23"/>
      <c r="L43" s="23">
        <f t="shared" si="17"/>
        <v>0</v>
      </c>
      <c r="M43" s="63"/>
      <c r="N43" s="63">
        <f t="shared" si="13"/>
        <v>0</v>
      </c>
      <c r="O43" s="63">
        <f t="shared" si="14"/>
        <v>0</v>
      </c>
    </row>
    <row r="44" spans="1:15" ht="18.75">
      <c r="A44" s="260" t="s">
        <v>122</v>
      </c>
      <c r="B44" s="51">
        <f aca="true" t="shared" si="19" ref="B44:G44">B45+B47</f>
        <v>141.01</v>
      </c>
      <c r="C44" s="51">
        <f t="shared" si="19"/>
        <v>15.75</v>
      </c>
      <c r="D44" s="51">
        <f t="shared" si="19"/>
        <v>6.5</v>
      </c>
      <c r="E44" s="51">
        <f t="shared" si="19"/>
        <v>0</v>
      </c>
      <c r="F44" s="51">
        <f t="shared" si="19"/>
        <v>33.375</v>
      </c>
      <c r="G44" s="51">
        <f t="shared" si="19"/>
        <v>174.385</v>
      </c>
      <c r="H44" s="51">
        <f aca="true" t="shared" si="20" ref="H44:M44">H45+H47</f>
        <v>137.56</v>
      </c>
      <c r="I44" s="51">
        <f t="shared" si="20"/>
        <v>0</v>
      </c>
      <c r="J44" s="51">
        <f t="shared" si="20"/>
        <v>13.33</v>
      </c>
      <c r="K44" s="51">
        <f t="shared" si="20"/>
        <v>0</v>
      </c>
      <c r="L44" s="51">
        <f t="shared" si="20"/>
        <v>19.995</v>
      </c>
      <c r="M44" s="51">
        <f t="shared" si="20"/>
        <v>0</v>
      </c>
      <c r="N44" s="51">
        <f>G44+M44</f>
        <v>174.385</v>
      </c>
      <c r="O44" s="51">
        <f>N44/2</f>
        <v>87.1925</v>
      </c>
    </row>
    <row r="45" spans="1:15" ht="18.75">
      <c r="A45" s="261" t="s">
        <v>46</v>
      </c>
      <c r="B45" s="19">
        <v>80.01</v>
      </c>
      <c r="C45" s="19">
        <v>0</v>
      </c>
      <c r="D45" s="19">
        <v>6.5</v>
      </c>
      <c r="E45" s="19">
        <v>0</v>
      </c>
      <c r="F45" s="20">
        <f>SUM(C45:E45)*1.5</f>
        <v>9.75</v>
      </c>
      <c r="G45" s="53">
        <f>B45+F45</f>
        <v>89.76</v>
      </c>
      <c r="H45" s="19">
        <v>137.56</v>
      </c>
      <c r="I45" s="19"/>
      <c r="J45" s="19">
        <v>13.33</v>
      </c>
      <c r="K45" s="19"/>
      <c r="L45" s="20">
        <f>SUM(I45:K45)*1.5</f>
        <v>19.995</v>
      </c>
      <c r="M45" s="53"/>
      <c r="N45" s="53">
        <f aca="true" t="shared" si="21" ref="N45:N59">G45+M45</f>
        <v>89.76</v>
      </c>
      <c r="O45" s="53">
        <f aca="true" t="shared" si="22" ref="O45:O59">N45/2</f>
        <v>44.88</v>
      </c>
    </row>
    <row r="46" spans="1:15" ht="18.75">
      <c r="A46" s="262" t="s">
        <v>23</v>
      </c>
      <c r="B46" s="23">
        <v>0</v>
      </c>
      <c r="C46" s="23">
        <v>0</v>
      </c>
      <c r="D46" s="23">
        <v>0</v>
      </c>
      <c r="E46" s="23">
        <v>0</v>
      </c>
      <c r="F46" s="24">
        <f>SUM(C46:E46)*1.5</f>
        <v>0</v>
      </c>
      <c r="G46" s="63">
        <f>B46+F46</f>
        <v>0</v>
      </c>
      <c r="H46" s="23"/>
      <c r="I46" s="23"/>
      <c r="J46" s="23"/>
      <c r="K46" s="23"/>
      <c r="L46" s="24"/>
      <c r="M46" s="63"/>
      <c r="N46" s="63">
        <f t="shared" si="21"/>
        <v>0</v>
      </c>
      <c r="O46" s="63">
        <f t="shared" si="22"/>
        <v>0</v>
      </c>
    </row>
    <row r="47" spans="1:15" ht="18.75">
      <c r="A47" s="263" t="s">
        <v>29</v>
      </c>
      <c r="B47" s="33">
        <v>61</v>
      </c>
      <c r="C47" s="33">
        <v>15.75</v>
      </c>
      <c r="D47" s="33">
        <v>0</v>
      </c>
      <c r="E47" s="33">
        <v>0</v>
      </c>
      <c r="F47" s="34">
        <f>SUM(C47:E47)*1.5</f>
        <v>23.625</v>
      </c>
      <c r="G47" s="52">
        <f>B47+F47</f>
        <v>84.625</v>
      </c>
      <c r="H47" s="33"/>
      <c r="I47" s="33"/>
      <c r="J47" s="33"/>
      <c r="K47" s="33"/>
      <c r="L47" s="34"/>
      <c r="M47" s="52"/>
      <c r="N47" s="52">
        <f t="shared" si="21"/>
        <v>84.625</v>
      </c>
      <c r="O47" s="52">
        <f t="shared" si="22"/>
        <v>42.3125</v>
      </c>
    </row>
    <row r="48" spans="1:15" ht="18.75">
      <c r="A48" s="27" t="s">
        <v>47</v>
      </c>
      <c r="B48" s="64">
        <f>B49</f>
        <v>839.77</v>
      </c>
      <c r="C48" s="64">
        <f aca="true" t="shared" si="23" ref="C48:M48">C49</f>
        <v>0</v>
      </c>
      <c r="D48" s="64">
        <f t="shared" si="23"/>
        <v>0</v>
      </c>
      <c r="E48" s="64">
        <f t="shared" si="23"/>
        <v>0</v>
      </c>
      <c r="F48" s="64">
        <f t="shared" si="23"/>
        <v>0</v>
      </c>
      <c r="G48" s="64">
        <f t="shared" si="23"/>
        <v>839.77</v>
      </c>
      <c r="H48" s="64">
        <f t="shared" si="23"/>
        <v>849.39</v>
      </c>
      <c r="I48" s="64">
        <f t="shared" si="23"/>
        <v>0</v>
      </c>
      <c r="J48" s="64">
        <f t="shared" si="23"/>
        <v>0</v>
      </c>
      <c r="K48" s="64">
        <f t="shared" si="23"/>
        <v>0</v>
      </c>
      <c r="L48" s="64">
        <f t="shared" si="23"/>
        <v>0</v>
      </c>
      <c r="M48" s="64">
        <f t="shared" si="23"/>
        <v>0</v>
      </c>
      <c r="N48" s="64">
        <f t="shared" si="21"/>
        <v>839.77</v>
      </c>
      <c r="O48" s="64">
        <f t="shared" si="22"/>
        <v>419.885</v>
      </c>
    </row>
    <row r="49" spans="1:15" ht="18.75">
      <c r="A49" s="15" t="s">
        <v>48</v>
      </c>
      <c r="B49" s="16">
        <v>839.77</v>
      </c>
      <c r="C49" s="16">
        <v>0</v>
      </c>
      <c r="D49" s="16">
        <v>0</v>
      </c>
      <c r="E49" s="16">
        <v>0</v>
      </c>
      <c r="F49" s="17">
        <f>SUM(C49:E49)*1.5</f>
        <v>0</v>
      </c>
      <c r="G49" s="51">
        <f>B49+F49</f>
        <v>839.77</v>
      </c>
      <c r="H49" s="16">
        <f>849.39</f>
        <v>849.39</v>
      </c>
      <c r="I49" s="16"/>
      <c r="J49" s="16"/>
      <c r="K49" s="16"/>
      <c r="L49" s="17"/>
      <c r="M49" s="51"/>
      <c r="N49" s="51">
        <f t="shared" si="21"/>
        <v>839.77</v>
      </c>
      <c r="O49" s="51">
        <f t="shared" si="22"/>
        <v>419.885</v>
      </c>
    </row>
    <row r="50" spans="1:15" ht="18.75">
      <c r="A50" s="66" t="s">
        <v>49</v>
      </c>
      <c r="B50" s="67">
        <f>B51+B52+B55</f>
        <v>625.29</v>
      </c>
      <c r="C50" s="67">
        <f aca="true" t="shared" si="24" ref="C50:M50">C51+C52+C55</f>
        <v>0</v>
      </c>
      <c r="D50" s="67">
        <f t="shared" si="24"/>
        <v>0</v>
      </c>
      <c r="E50" s="67">
        <f t="shared" si="24"/>
        <v>0</v>
      </c>
      <c r="F50" s="67">
        <f t="shared" si="24"/>
        <v>0</v>
      </c>
      <c r="G50" s="67">
        <f t="shared" si="24"/>
        <v>625.29</v>
      </c>
      <c r="H50" s="67">
        <f t="shared" si="24"/>
        <v>641.8399999999999</v>
      </c>
      <c r="I50" s="67">
        <f t="shared" si="24"/>
        <v>0</v>
      </c>
      <c r="J50" s="67">
        <f t="shared" si="24"/>
        <v>0</v>
      </c>
      <c r="K50" s="67">
        <f t="shared" si="24"/>
        <v>0</v>
      </c>
      <c r="L50" s="67">
        <f t="shared" si="24"/>
        <v>0</v>
      </c>
      <c r="M50" s="67">
        <f t="shared" si="24"/>
        <v>0</v>
      </c>
      <c r="N50" s="67">
        <f t="shared" si="21"/>
        <v>625.29</v>
      </c>
      <c r="O50" s="67">
        <f t="shared" si="22"/>
        <v>312.645</v>
      </c>
    </row>
    <row r="51" spans="1:15" ht="18.75">
      <c r="A51" s="68" t="s">
        <v>50</v>
      </c>
      <c r="B51" s="69">
        <v>212.52</v>
      </c>
      <c r="C51" s="69">
        <v>0</v>
      </c>
      <c r="D51" s="69">
        <v>0</v>
      </c>
      <c r="E51" s="69">
        <v>0</v>
      </c>
      <c r="F51" s="17">
        <f>SUM(C51:E51)*1.5</f>
        <v>0</v>
      </c>
      <c r="G51" s="70">
        <f>B51+F51</f>
        <v>212.52</v>
      </c>
      <c r="H51" s="69">
        <f>176.17</f>
        <v>176.17</v>
      </c>
      <c r="I51" s="69"/>
      <c r="J51" s="69"/>
      <c r="K51" s="69"/>
      <c r="L51" s="17"/>
      <c r="M51" s="70"/>
      <c r="N51" s="70">
        <f t="shared" si="21"/>
        <v>212.52</v>
      </c>
      <c r="O51" s="70">
        <f t="shared" si="22"/>
        <v>106.26</v>
      </c>
    </row>
    <row r="52" spans="1:15" ht="18.75">
      <c r="A52" s="68" t="s">
        <v>51</v>
      </c>
      <c r="B52" s="69">
        <f aca="true" t="shared" si="25" ref="B52:G52">SUM(B53:B54)</f>
        <v>272.85</v>
      </c>
      <c r="C52" s="69">
        <f t="shared" si="25"/>
        <v>0</v>
      </c>
      <c r="D52" s="69">
        <f t="shared" si="25"/>
        <v>0</v>
      </c>
      <c r="E52" s="69">
        <f t="shared" si="25"/>
        <v>0</v>
      </c>
      <c r="F52" s="69">
        <f t="shared" si="25"/>
        <v>0</v>
      </c>
      <c r="G52" s="69">
        <f t="shared" si="25"/>
        <v>272.85</v>
      </c>
      <c r="H52" s="69">
        <f aca="true" t="shared" si="26" ref="H52:M52">SUM(H53:H54)</f>
        <v>381.66999999999996</v>
      </c>
      <c r="I52" s="69">
        <f t="shared" si="26"/>
        <v>0</v>
      </c>
      <c r="J52" s="69">
        <f t="shared" si="26"/>
        <v>0</v>
      </c>
      <c r="K52" s="69">
        <f t="shared" si="26"/>
        <v>0</v>
      </c>
      <c r="L52" s="69">
        <f t="shared" si="26"/>
        <v>0</v>
      </c>
      <c r="M52" s="69">
        <f t="shared" si="26"/>
        <v>0</v>
      </c>
      <c r="N52" s="69">
        <f t="shared" si="21"/>
        <v>272.85</v>
      </c>
      <c r="O52" s="69">
        <f t="shared" si="22"/>
        <v>136.425</v>
      </c>
    </row>
    <row r="53" spans="1:15" ht="18.75">
      <c r="A53" s="72" t="s">
        <v>52</v>
      </c>
      <c r="B53" s="73">
        <v>154.02</v>
      </c>
      <c r="C53" s="73">
        <v>0</v>
      </c>
      <c r="D53" s="73">
        <v>0</v>
      </c>
      <c r="E53" s="73">
        <v>0</v>
      </c>
      <c r="F53" s="20">
        <f>SUM(C53:E53)*1.5</f>
        <v>0</v>
      </c>
      <c r="G53" s="74">
        <f>B53+F53</f>
        <v>154.02</v>
      </c>
      <c r="H53" s="73">
        <v>230.94</v>
      </c>
      <c r="I53" s="73"/>
      <c r="J53" s="73"/>
      <c r="K53" s="73"/>
      <c r="L53" s="20"/>
      <c r="M53" s="74"/>
      <c r="N53" s="74">
        <f t="shared" si="21"/>
        <v>154.02</v>
      </c>
      <c r="O53" s="74">
        <f t="shared" si="22"/>
        <v>77.01</v>
      </c>
    </row>
    <row r="54" spans="1:15" ht="18.75">
      <c r="A54" s="72" t="s">
        <v>53</v>
      </c>
      <c r="B54" s="73">
        <v>118.83</v>
      </c>
      <c r="C54" s="73">
        <v>0</v>
      </c>
      <c r="D54" s="73">
        <v>0</v>
      </c>
      <c r="E54" s="73">
        <v>0</v>
      </c>
      <c r="F54" s="20">
        <f>SUM(C54:E54)*1.5</f>
        <v>0</v>
      </c>
      <c r="G54" s="74">
        <f>B54+F54</f>
        <v>118.83</v>
      </c>
      <c r="H54" s="73">
        <f>147.56+3.17</f>
        <v>150.73</v>
      </c>
      <c r="I54" s="73"/>
      <c r="J54" s="73"/>
      <c r="K54" s="73"/>
      <c r="L54" s="20"/>
      <c r="M54" s="74"/>
      <c r="N54" s="74">
        <f t="shared" si="21"/>
        <v>118.83</v>
      </c>
      <c r="O54" s="74">
        <f t="shared" si="22"/>
        <v>59.415</v>
      </c>
    </row>
    <row r="55" spans="1:15" ht="18.75">
      <c r="A55" s="68" t="s">
        <v>54</v>
      </c>
      <c r="B55" s="69">
        <v>139.92</v>
      </c>
      <c r="C55" s="69">
        <v>0</v>
      </c>
      <c r="D55" s="69">
        <v>0</v>
      </c>
      <c r="E55" s="69">
        <v>0</v>
      </c>
      <c r="F55" s="17">
        <f>SUM(C55:E55)*1.5</f>
        <v>0</v>
      </c>
      <c r="G55" s="70">
        <f>B55+F55</f>
        <v>139.92</v>
      </c>
      <c r="H55" s="69">
        <v>84</v>
      </c>
      <c r="I55" s="69"/>
      <c r="J55" s="69"/>
      <c r="K55" s="69"/>
      <c r="L55" s="17"/>
      <c r="M55" s="70"/>
      <c r="N55" s="70">
        <f t="shared" si="21"/>
        <v>139.92</v>
      </c>
      <c r="O55" s="70">
        <f t="shared" si="22"/>
        <v>69.96</v>
      </c>
    </row>
    <row r="56" spans="1:15" ht="18.75">
      <c r="A56" s="27" t="s">
        <v>55</v>
      </c>
      <c r="B56" s="64">
        <f>B57+B60+B67+B69+B79+B81+B65+B74</f>
        <v>3063.9300000000003</v>
      </c>
      <c r="C56" s="64">
        <f aca="true" t="shared" si="27" ref="C56:O56">C57+C60+C67+C69+C79+C81+C65+C74</f>
        <v>0</v>
      </c>
      <c r="D56" s="64">
        <f t="shared" si="27"/>
        <v>12.15</v>
      </c>
      <c r="E56" s="64">
        <f t="shared" si="27"/>
        <v>2.5</v>
      </c>
      <c r="F56" s="64">
        <f t="shared" si="27"/>
        <v>21.975</v>
      </c>
      <c r="G56" s="64">
        <f t="shared" si="27"/>
        <v>3085.9050000000007</v>
      </c>
      <c r="H56" s="64">
        <f t="shared" si="27"/>
        <v>2796.8700000000003</v>
      </c>
      <c r="I56" s="64">
        <f t="shared" si="27"/>
        <v>0</v>
      </c>
      <c r="J56" s="64">
        <f t="shared" si="27"/>
        <v>8.61</v>
      </c>
      <c r="K56" s="64">
        <f t="shared" si="27"/>
        <v>6.67</v>
      </c>
      <c r="L56" s="64">
        <f t="shared" si="27"/>
        <v>22.92</v>
      </c>
      <c r="M56" s="64">
        <f t="shared" si="27"/>
        <v>0</v>
      </c>
      <c r="N56" s="64">
        <f t="shared" si="27"/>
        <v>3085.9050000000007</v>
      </c>
      <c r="O56" s="64">
        <f t="shared" si="27"/>
        <v>1542.9525000000003</v>
      </c>
    </row>
    <row r="57" spans="1:15" ht="18.75">
      <c r="A57" s="15" t="s">
        <v>56</v>
      </c>
      <c r="B57" s="51">
        <f aca="true" t="shared" si="28" ref="B57:G57">B58</f>
        <v>0</v>
      </c>
      <c r="C57" s="51">
        <f t="shared" si="28"/>
        <v>0</v>
      </c>
      <c r="D57" s="51">
        <f t="shared" si="28"/>
        <v>0</v>
      </c>
      <c r="E57" s="51">
        <f t="shared" si="28"/>
        <v>1.25</v>
      </c>
      <c r="F57" s="51">
        <f t="shared" si="28"/>
        <v>1.875</v>
      </c>
      <c r="G57" s="51">
        <f t="shared" si="28"/>
        <v>1.875</v>
      </c>
      <c r="H57" s="51"/>
      <c r="I57" s="51"/>
      <c r="J57" s="51"/>
      <c r="K57" s="51"/>
      <c r="L57" s="51"/>
      <c r="M57" s="51"/>
      <c r="N57" s="51">
        <f t="shared" si="21"/>
        <v>1.875</v>
      </c>
      <c r="O57" s="51">
        <f t="shared" si="22"/>
        <v>0.9375</v>
      </c>
    </row>
    <row r="58" spans="1:15" ht="18.75">
      <c r="A58" s="25" t="s">
        <v>57</v>
      </c>
      <c r="B58" s="53">
        <v>0</v>
      </c>
      <c r="C58" s="53">
        <v>0</v>
      </c>
      <c r="D58" s="53">
        <v>0</v>
      </c>
      <c r="E58" s="53">
        <v>1.25</v>
      </c>
      <c r="F58" s="20">
        <f>SUM(C58:E58)*1.5</f>
        <v>1.875</v>
      </c>
      <c r="G58" s="53">
        <f>B58+F58</f>
        <v>1.875</v>
      </c>
      <c r="H58" s="53"/>
      <c r="I58" s="53"/>
      <c r="J58" s="53"/>
      <c r="K58" s="53">
        <v>5.01</v>
      </c>
      <c r="L58" s="20">
        <f>SUM(I58:K58)*1.5</f>
        <v>7.515</v>
      </c>
      <c r="M58" s="53"/>
      <c r="N58" s="53">
        <f t="shared" si="21"/>
        <v>1.875</v>
      </c>
      <c r="O58" s="53">
        <f t="shared" si="22"/>
        <v>0.9375</v>
      </c>
    </row>
    <row r="59" spans="1:15" ht="18.75">
      <c r="A59" s="22" t="s">
        <v>58</v>
      </c>
      <c r="B59" s="63">
        <v>0</v>
      </c>
      <c r="C59" s="63">
        <v>0</v>
      </c>
      <c r="D59" s="63">
        <v>0</v>
      </c>
      <c r="E59" s="63">
        <v>6.5</v>
      </c>
      <c r="F59" s="24">
        <f>SUM(C59:E59)*1.5</f>
        <v>9.75</v>
      </c>
      <c r="G59" s="63">
        <f>B59+F59</f>
        <v>9.75</v>
      </c>
      <c r="H59" s="63"/>
      <c r="I59" s="63"/>
      <c r="J59" s="63"/>
      <c r="K59" s="63"/>
      <c r="L59" s="24"/>
      <c r="M59" s="63"/>
      <c r="N59" s="63">
        <f t="shared" si="21"/>
        <v>9.75</v>
      </c>
      <c r="O59" s="63">
        <f t="shared" si="22"/>
        <v>4.875</v>
      </c>
    </row>
    <row r="60" spans="1:15" ht="18.75">
      <c r="A60" s="15" t="s">
        <v>123</v>
      </c>
      <c r="B60" s="51">
        <f>SUM(B61:B64)</f>
        <v>582.4300000000001</v>
      </c>
      <c r="C60" s="51">
        <f aca="true" t="shared" si="29" ref="C60:O60">SUM(C61:C64)</f>
        <v>0</v>
      </c>
      <c r="D60" s="51">
        <f t="shared" si="29"/>
        <v>0</v>
      </c>
      <c r="E60" s="51">
        <f t="shared" si="29"/>
        <v>0</v>
      </c>
      <c r="F60" s="51">
        <f t="shared" si="29"/>
        <v>0</v>
      </c>
      <c r="G60" s="51">
        <f t="shared" si="29"/>
        <v>582.4300000000001</v>
      </c>
      <c r="H60" s="51">
        <f t="shared" si="29"/>
        <v>554.3</v>
      </c>
      <c r="I60" s="51">
        <f t="shared" si="29"/>
        <v>0</v>
      </c>
      <c r="J60" s="51">
        <f t="shared" si="29"/>
        <v>0</v>
      </c>
      <c r="K60" s="51">
        <f t="shared" si="29"/>
        <v>0</v>
      </c>
      <c r="L60" s="51">
        <f t="shared" si="29"/>
        <v>0</v>
      </c>
      <c r="M60" s="51">
        <f t="shared" si="29"/>
        <v>0</v>
      </c>
      <c r="N60" s="51">
        <f t="shared" si="29"/>
        <v>582.4300000000001</v>
      </c>
      <c r="O60" s="51">
        <f t="shared" si="29"/>
        <v>291.21500000000003</v>
      </c>
    </row>
    <row r="61" spans="1:15" ht="18.75">
      <c r="A61" s="18" t="s">
        <v>60</v>
      </c>
      <c r="B61" s="19">
        <v>244.54</v>
      </c>
      <c r="C61" s="19">
        <v>0</v>
      </c>
      <c r="D61" s="19">
        <v>0</v>
      </c>
      <c r="E61" s="19">
        <v>0</v>
      </c>
      <c r="F61" s="95">
        <f aca="true" t="shared" si="30" ref="F61:F66">SUM(C61:E61)*1.5</f>
        <v>0</v>
      </c>
      <c r="G61" s="53">
        <f aca="true" t="shared" si="31" ref="G61:G66">B61+F61</f>
        <v>244.54</v>
      </c>
      <c r="H61" s="19">
        <f>213.89+107.78</f>
        <v>321.66999999999996</v>
      </c>
      <c r="I61" s="19"/>
      <c r="J61" s="19"/>
      <c r="K61" s="19"/>
      <c r="L61" s="95"/>
      <c r="M61" s="53"/>
      <c r="N61" s="53">
        <f aca="true" t="shared" si="32" ref="N61:N78">G61+M61</f>
        <v>244.54</v>
      </c>
      <c r="O61" s="53">
        <f aca="true" t="shared" si="33" ref="O61:O78">N61/2</f>
        <v>122.27</v>
      </c>
    </row>
    <row r="62" spans="1:15" ht="18.75">
      <c r="A62" s="18" t="s">
        <v>61</v>
      </c>
      <c r="B62" s="19">
        <v>119.58</v>
      </c>
      <c r="C62" s="19">
        <v>0</v>
      </c>
      <c r="D62" s="19">
        <v>0</v>
      </c>
      <c r="E62" s="19">
        <v>0</v>
      </c>
      <c r="F62" s="95">
        <f t="shared" si="30"/>
        <v>0</v>
      </c>
      <c r="G62" s="53">
        <f t="shared" si="31"/>
        <v>119.58</v>
      </c>
      <c r="H62" s="19"/>
      <c r="I62" s="19"/>
      <c r="J62" s="19"/>
      <c r="K62" s="19"/>
      <c r="L62" s="95"/>
      <c r="M62" s="53"/>
      <c r="N62" s="53">
        <f t="shared" si="32"/>
        <v>119.58</v>
      </c>
      <c r="O62" s="53">
        <f t="shared" si="33"/>
        <v>59.79</v>
      </c>
    </row>
    <row r="63" spans="1:15" ht="18.75">
      <c r="A63" s="18" t="s">
        <v>62</v>
      </c>
      <c r="B63" s="19">
        <v>9</v>
      </c>
      <c r="C63" s="19">
        <v>0</v>
      </c>
      <c r="D63" s="19">
        <v>0</v>
      </c>
      <c r="E63" s="19">
        <v>0</v>
      </c>
      <c r="F63" s="95">
        <f>SUM(C63:E63)*1.5</f>
        <v>0</v>
      </c>
      <c r="G63" s="53">
        <f>B63+F63</f>
        <v>9</v>
      </c>
      <c r="H63" s="19"/>
      <c r="I63" s="19"/>
      <c r="J63" s="19"/>
      <c r="K63" s="19"/>
      <c r="L63" s="95"/>
      <c r="M63" s="53"/>
      <c r="N63" s="53">
        <f t="shared" si="32"/>
        <v>9</v>
      </c>
      <c r="O63" s="53">
        <f t="shared" si="33"/>
        <v>4.5</v>
      </c>
    </row>
    <row r="64" spans="1:15" ht="18.75">
      <c r="A64" s="18" t="s">
        <v>64</v>
      </c>
      <c r="B64" s="19">
        <v>209.31</v>
      </c>
      <c r="C64" s="19">
        <v>0</v>
      </c>
      <c r="D64" s="19">
        <v>0</v>
      </c>
      <c r="E64" s="19">
        <v>0</v>
      </c>
      <c r="F64" s="95">
        <f t="shared" si="30"/>
        <v>0</v>
      </c>
      <c r="G64" s="53">
        <f t="shared" si="31"/>
        <v>209.31</v>
      </c>
      <c r="H64" s="19">
        <f>145.33+87.3</f>
        <v>232.63</v>
      </c>
      <c r="I64" s="19"/>
      <c r="J64" s="19"/>
      <c r="K64" s="19"/>
      <c r="L64" s="95"/>
      <c r="M64" s="53"/>
      <c r="N64" s="53">
        <f t="shared" si="32"/>
        <v>209.31</v>
      </c>
      <c r="O64" s="53">
        <f t="shared" si="33"/>
        <v>104.655</v>
      </c>
    </row>
    <row r="65" spans="1:15" ht="18.75">
      <c r="A65" s="15" t="s">
        <v>147</v>
      </c>
      <c r="B65" s="16">
        <f>SUM(B66)</f>
        <v>304.61</v>
      </c>
      <c r="C65" s="16">
        <f aca="true" t="shared" si="34" ref="C65:O65">SUM(C66)</f>
        <v>0</v>
      </c>
      <c r="D65" s="16">
        <f t="shared" si="34"/>
        <v>0</v>
      </c>
      <c r="E65" s="16">
        <f t="shared" si="34"/>
        <v>0</v>
      </c>
      <c r="F65" s="16">
        <f t="shared" si="34"/>
        <v>0</v>
      </c>
      <c r="G65" s="16">
        <f t="shared" si="34"/>
        <v>304.61</v>
      </c>
      <c r="H65" s="16">
        <f t="shared" si="34"/>
        <v>407.78</v>
      </c>
      <c r="I65" s="16">
        <f t="shared" si="34"/>
        <v>0</v>
      </c>
      <c r="J65" s="16">
        <f t="shared" si="34"/>
        <v>0</v>
      </c>
      <c r="K65" s="16">
        <f t="shared" si="34"/>
        <v>0</v>
      </c>
      <c r="L65" s="16">
        <f t="shared" si="34"/>
        <v>0</v>
      </c>
      <c r="M65" s="16">
        <f t="shared" si="34"/>
        <v>0</v>
      </c>
      <c r="N65" s="16">
        <f t="shared" si="34"/>
        <v>304.61</v>
      </c>
      <c r="O65" s="16">
        <f t="shared" si="34"/>
        <v>152.305</v>
      </c>
    </row>
    <row r="66" spans="1:15" ht="18.75">
      <c r="A66" s="18" t="s">
        <v>148</v>
      </c>
      <c r="B66" s="19">
        <f>95+209.61</f>
        <v>304.61</v>
      </c>
      <c r="C66" s="19">
        <v>0</v>
      </c>
      <c r="D66" s="19">
        <v>0</v>
      </c>
      <c r="E66" s="19">
        <v>0</v>
      </c>
      <c r="F66" s="95">
        <f t="shared" si="30"/>
        <v>0</v>
      </c>
      <c r="G66" s="53">
        <f t="shared" si="31"/>
        <v>304.61</v>
      </c>
      <c r="H66" s="19">
        <f>400+7.78</f>
        <v>407.78</v>
      </c>
      <c r="I66" s="19"/>
      <c r="J66" s="19"/>
      <c r="K66" s="19"/>
      <c r="L66" s="95"/>
      <c r="M66" s="53"/>
      <c r="N66" s="53">
        <f t="shared" si="32"/>
        <v>304.61</v>
      </c>
      <c r="O66" s="53">
        <f t="shared" si="33"/>
        <v>152.305</v>
      </c>
    </row>
    <row r="67" spans="1:15" ht="18.75">
      <c r="A67" s="203" t="s">
        <v>144</v>
      </c>
      <c r="B67" s="16">
        <f>B68</f>
        <v>192.78</v>
      </c>
      <c r="C67" s="16">
        <f aca="true" t="shared" si="35" ref="C67:M67">C68</f>
        <v>0</v>
      </c>
      <c r="D67" s="16">
        <f t="shared" si="35"/>
        <v>0</v>
      </c>
      <c r="E67" s="16">
        <f t="shared" si="35"/>
        <v>0</v>
      </c>
      <c r="F67" s="16">
        <f t="shared" si="35"/>
        <v>0</v>
      </c>
      <c r="G67" s="16">
        <f t="shared" si="35"/>
        <v>192.78</v>
      </c>
      <c r="H67" s="16">
        <f t="shared" si="35"/>
        <v>182.84</v>
      </c>
      <c r="I67" s="16">
        <f t="shared" si="35"/>
        <v>0</v>
      </c>
      <c r="J67" s="16">
        <f t="shared" si="35"/>
        <v>0</v>
      </c>
      <c r="K67" s="16">
        <f t="shared" si="35"/>
        <v>0</v>
      </c>
      <c r="L67" s="16">
        <f t="shared" si="35"/>
        <v>0</v>
      </c>
      <c r="M67" s="16">
        <f t="shared" si="35"/>
        <v>0</v>
      </c>
      <c r="N67" s="16">
        <f t="shared" si="32"/>
        <v>192.78</v>
      </c>
      <c r="O67" s="16">
        <f t="shared" si="33"/>
        <v>96.39</v>
      </c>
    </row>
    <row r="68" spans="1:15" ht="18.75">
      <c r="A68" s="18" t="s">
        <v>68</v>
      </c>
      <c r="B68" s="19">
        <v>192.78</v>
      </c>
      <c r="C68" s="19">
        <v>0</v>
      </c>
      <c r="D68" s="19">
        <v>0</v>
      </c>
      <c r="E68" s="19">
        <v>0</v>
      </c>
      <c r="F68" s="95">
        <f>SUM(C68:E68)*1.5</f>
        <v>0</v>
      </c>
      <c r="G68" s="26">
        <f>B68+F68</f>
        <v>192.78</v>
      </c>
      <c r="H68" s="19">
        <f>151.06+31.78</f>
        <v>182.84</v>
      </c>
      <c r="I68" s="19"/>
      <c r="J68" s="19"/>
      <c r="K68" s="19"/>
      <c r="L68" s="95"/>
      <c r="M68" s="26"/>
      <c r="N68" s="26">
        <f t="shared" si="32"/>
        <v>192.78</v>
      </c>
      <c r="O68" s="26">
        <f t="shared" si="33"/>
        <v>96.39</v>
      </c>
    </row>
    <row r="69" spans="1:15" ht="18.75">
      <c r="A69" s="203" t="s">
        <v>145</v>
      </c>
      <c r="B69" s="16">
        <f>B70+B72</f>
        <v>559.71</v>
      </c>
      <c r="C69" s="16">
        <f aca="true" t="shared" si="36" ref="C69:O69">C70+C72</f>
        <v>0</v>
      </c>
      <c r="D69" s="16">
        <f t="shared" si="36"/>
        <v>5.32</v>
      </c>
      <c r="E69" s="16">
        <f t="shared" si="36"/>
        <v>0</v>
      </c>
      <c r="F69" s="16">
        <f t="shared" si="36"/>
        <v>7.98</v>
      </c>
      <c r="G69" s="16">
        <f t="shared" si="36"/>
        <v>567.69</v>
      </c>
      <c r="H69" s="16">
        <f t="shared" si="36"/>
        <v>402.83000000000004</v>
      </c>
      <c r="I69" s="16">
        <f t="shared" si="36"/>
        <v>0</v>
      </c>
      <c r="J69" s="16">
        <f t="shared" si="36"/>
        <v>5.83</v>
      </c>
      <c r="K69" s="16">
        <f t="shared" si="36"/>
        <v>0</v>
      </c>
      <c r="L69" s="16">
        <f t="shared" si="36"/>
        <v>8.745000000000001</v>
      </c>
      <c r="M69" s="16">
        <f t="shared" si="36"/>
        <v>0</v>
      </c>
      <c r="N69" s="16">
        <f t="shared" si="36"/>
        <v>567.69</v>
      </c>
      <c r="O69" s="16">
        <f t="shared" si="36"/>
        <v>283.845</v>
      </c>
    </row>
    <row r="70" spans="1:15" ht="18.75">
      <c r="A70" s="18" t="s">
        <v>70</v>
      </c>
      <c r="B70" s="19">
        <v>559.71</v>
      </c>
      <c r="C70" s="19">
        <v>0</v>
      </c>
      <c r="D70" s="19">
        <v>2.83</v>
      </c>
      <c r="E70" s="19">
        <v>0</v>
      </c>
      <c r="F70" s="26">
        <f aca="true" t="shared" si="37" ref="F70:F78">SUM(C70:E70)*1.5</f>
        <v>4.245</v>
      </c>
      <c r="G70" s="26">
        <f aca="true" t="shared" si="38" ref="G70:G78">B70+F70</f>
        <v>563.955</v>
      </c>
      <c r="H70" s="19">
        <f>197.33+205.5</f>
        <v>402.83000000000004</v>
      </c>
      <c r="I70" s="19"/>
      <c r="J70" s="19">
        <v>3.33</v>
      </c>
      <c r="K70" s="19"/>
      <c r="L70" s="19">
        <f>SUM(I70:K70)*1.5</f>
        <v>4.995</v>
      </c>
      <c r="M70" s="26"/>
      <c r="N70" s="26">
        <f t="shared" si="32"/>
        <v>563.955</v>
      </c>
      <c r="O70" s="26">
        <f t="shared" si="33"/>
        <v>281.9775</v>
      </c>
    </row>
    <row r="71" spans="1:15" ht="18.75">
      <c r="A71" s="22" t="s">
        <v>71</v>
      </c>
      <c r="B71" s="23">
        <v>0</v>
      </c>
      <c r="C71" s="23">
        <v>0</v>
      </c>
      <c r="D71" s="23">
        <v>2</v>
      </c>
      <c r="E71" s="23">
        <v>0</v>
      </c>
      <c r="F71" s="23">
        <f>SUM(C71:E71)*1.5</f>
        <v>3</v>
      </c>
      <c r="G71" s="23">
        <f>B71+F71</f>
        <v>3</v>
      </c>
      <c r="H71" s="23"/>
      <c r="I71" s="23"/>
      <c r="J71" s="23"/>
      <c r="K71" s="23"/>
      <c r="L71" s="23">
        <f>SUM(I71:K71)*1.5</f>
        <v>0</v>
      </c>
      <c r="M71" s="23"/>
      <c r="N71" s="23">
        <f t="shared" si="32"/>
        <v>3</v>
      </c>
      <c r="O71" s="23">
        <f t="shared" si="33"/>
        <v>1.5</v>
      </c>
    </row>
    <row r="72" spans="1:15" ht="18.75">
      <c r="A72" s="18" t="s">
        <v>72</v>
      </c>
      <c r="B72" s="19">
        <v>0</v>
      </c>
      <c r="C72" s="19">
        <v>0</v>
      </c>
      <c r="D72" s="19">
        <v>2.49</v>
      </c>
      <c r="E72" s="19">
        <v>0</v>
      </c>
      <c r="F72" s="26">
        <f t="shared" si="37"/>
        <v>3.7350000000000003</v>
      </c>
      <c r="G72" s="26">
        <f t="shared" si="38"/>
        <v>3.7350000000000003</v>
      </c>
      <c r="H72" s="19"/>
      <c r="I72" s="19"/>
      <c r="J72" s="19">
        <v>2.5</v>
      </c>
      <c r="K72" s="19"/>
      <c r="L72" s="19">
        <f>SUM(I72:K72)*1.5</f>
        <v>3.75</v>
      </c>
      <c r="M72" s="26"/>
      <c r="N72" s="26">
        <f t="shared" si="32"/>
        <v>3.7350000000000003</v>
      </c>
      <c r="O72" s="26">
        <f t="shared" si="33"/>
        <v>1.8675000000000002</v>
      </c>
    </row>
    <row r="73" spans="1:15" ht="18.75">
      <c r="A73" s="22" t="s">
        <v>73</v>
      </c>
      <c r="B73" s="23">
        <v>0</v>
      </c>
      <c r="C73" s="23">
        <v>0</v>
      </c>
      <c r="D73" s="23">
        <v>1</v>
      </c>
      <c r="E73" s="23">
        <v>0</v>
      </c>
      <c r="F73" s="23">
        <f>SUM(C73:E73)*1.5</f>
        <v>1.5</v>
      </c>
      <c r="G73" s="23">
        <f>B73+F73</f>
        <v>1.5</v>
      </c>
      <c r="H73" s="23"/>
      <c r="I73" s="23"/>
      <c r="J73" s="23"/>
      <c r="K73" s="23"/>
      <c r="L73" s="23"/>
      <c r="M73" s="23"/>
      <c r="N73" s="23">
        <f t="shared" si="32"/>
        <v>1.5</v>
      </c>
      <c r="O73" s="23">
        <f t="shared" si="33"/>
        <v>0.75</v>
      </c>
    </row>
    <row r="74" spans="1:15" ht="18.75">
      <c r="A74" s="203" t="s">
        <v>146</v>
      </c>
      <c r="B74" s="23">
        <f>SUM(B75:B78)</f>
        <v>291.26</v>
      </c>
      <c r="C74" s="23">
        <f aca="true" t="shared" si="39" ref="C74:O74">SUM(C75:C78)</f>
        <v>0</v>
      </c>
      <c r="D74" s="23">
        <f t="shared" si="39"/>
        <v>0</v>
      </c>
      <c r="E74" s="23">
        <f t="shared" si="39"/>
        <v>0</v>
      </c>
      <c r="F74" s="23">
        <f t="shared" si="39"/>
        <v>0</v>
      </c>
      <c r="G74" s="23">
        <f t="shared" si="39"/>
        <v>291.26</v>
      </c>
      <c r="H74" s="23">
        <f t="shared" si="39"/>
        <v>306.23</v>
      </c>
      <c r="I74" s="23">
        <f t="shared" si="39"/>
        <v>0</v>
      </c>
      <c r="J74" s="23">
        <f t="shared" si="39"/>
        <v>0</v>
      </c>
      <c r="K74" s="23">
        <f t="shared" si="39"/>
        <v>0</v>
      </c>
      <c r="L74" s="23">
        <f t="shared" si="39"/>
        <v>0</v>
      </c>
      <c r="M74" s="23">
        <f t="shared" si="39"/>
        <v>0</v>
      </c>
      <c r="N74" s="23">
        <f t="shared" si="39"/>
        <v>291.26</v>
      </c>
      <c r="O74" s="23">
        <f t="shared" si="39"/>
        <v>145.63</v>
      </c>
    </row>
    <row r="75" spans="1:15" ht="18.75">
      <c r="A75" s="18" t="s">
        <v>74</v>
      </c>
      <c r="B75" s="19">
        <v>59.94</v>
      </c>
      <c r="C75" s="19">
        <v>0</v>
      </c>
      <c r="D75" s="19">
        <v>0</v>
      </c>
      <c r="E75" s="19">
        <v>0</v>
      </c>
      <c r="F75" s="26">
        <f t="shared" si="37"/>
        <v>0</v>
      </c>
      <c r="G75" s="26">
        <f t="shared" si="38"/>
        <v>59.94</v>
      </c>
      <c r="H75" s="19">
        <f>42.89+26.67</f>
        <v>69.56</v>
      </c>
      <c r="I75" s="19"/>
      <c r="J75" s="19"/>
      <c r="K75" s="19"/>
      <c r="L75" s="26"/>
      <c r="M75" s="26"/>
      <c r="N75" s="26">
        <f t="shared" si="32"/>
        <v>59.94</v>
      </c>
      <c r="O75" s="26">
        <f t="shared" si="33"/>
        <v>29.97</v>
      </c>
    </row>
    <row r="76" spans="1:15" ht="18.75">
      <c r="A76" s="18" t="s">
        <v>75</v>
      </c>
      <c r="B76" s="19">
        <v>108.15</v>
      </c>
      <c r="C76" s="19">
        <v>0</v>
      </c>
      <c r="D76" s="19">
        <v>0</v>
      </c>
      <c r="E76" s="19">
        <v>0</v>
      </c>
      <c r="F76" s="26">
        <f t="shared" si="37"/>
        <v>0</v>
      </c>
      <c r="G76" s="26">
        <f t="shared" si="38"/>
        <v>108.15</v>
      </c>
      <c r="H76" s="19"/>
      <c r="I76" s="19"/>
      <c r="J76" s="19"/>
      <c r="K76" s="19"/>
      <c r="L76" s="26"/>
      <c r="M76" s="26"/>
      <c r="N76" s="26">
        <f t="shared" si="32"/>
        <v>108.15</v>
      </c>
      <c r="O76" s="26">
        <f t="shared" si="33"/>
        <v>54.075</v>
      </c>
    </row>
    <row r="77" spans="1:15" ht="18.75">
      <c r="A77" s="18" t="s">
        <v>76</v>
      </c>
      <c r="B77" s="19">
        <v>30</v>
      </c>
      <c r="C77" s="19">
        <v>0</v>
      </c>
      <c r="D77" s="19">
        <v>0</v>
      </c>
      <c r="E77" s="19">
        <v>0</v>
      </c>
      <c r="F77" s="26">
        <f>SUM(C77:E77)*1.5</f>
        <v>0</v>
      </c>
      <c r="G77" s="26">
        <f>B77+F77</f>
        <v>30</v>
      </c>
      <c r="H77" s="19">
        <f>26.67+105</f>
        <v>131.67000000000002</v>
      </c>
      <c r="I77" s="19"/>
      <c r="J77" s="19"/>
      <c r="K77" s="19"/>
      <c r="L77" s="26"/>
      <c r="M77" s="26"/>
      <c r="N77" s="26">
        <f t="shared" si="32"/>
        <v>30</v>
      </c>
      <c r="O77" s="26">
        <f t="shared" si="33"/>
        <v>15</v>
      </c>
    </row>
    <row r="78" spans="1:15" ht="18.75">
      <c r="A78" s="18" t="s">
        <v>77</v>
      </c>
      <c r="B78" s="19">
        <v>93.17</v>
      </c>
      <c r="C78" s="19">
        <v>0</v>
      </c>
      <c r="D78" s="19">
        <v>0</v>
      </c>
      <c r="E78" s="19">
        <v>0</v>
      </c>
      <c r="F78" s="26">
        <f t="shared" si="37"/>
        <v>0</v>
      </c>
      <c r="G78" s="26">
        <f t="shared" si="38"/>
        <v>93.17</v>
      </c>
      <c r="H78" s="19">
        <v>105</v>
      </c>
      <c r="I78" s="19"/>
      <c r="J78" s="19"/>
      <c r="K78" s="19"/>
      <c r="L78" s="26"/>
      <c r="M78" s="26"/>
      <c r="N78" s="26">
        <f t="shared" si="32"/>
        <v>93.17</v>
      </c>
      <c r="O78" s="26">
        <f t="shared" si="33"/>
        <v>46.585</v>
      </c>
    </row>
    <row r="79" spans="1:15" ht="18.75">
      <c r="A79" s="203" t="s">
        <v>124</v>
      </c>
      <c r="B79" s="16">
        <f>B80</f>
        <v>976.66</v>
      </c>
      <c r="C79" s="16">
        <f aca="true" t="shared" si="40" ref="C79:M79">C80</f>
        <v>0</v>
      </c>
      <c r="D79" s="16">
        <f t="shared" si="40"/>
        <v>6.83</v>
      </c>
      <c r="E79" s="16">
        <f t="shared" si="40"/>
        <v>1.25</v>
      </c>
      <c r="F79" s="16">
        <f t="shared" si="40"/>
        <v>12.120000000000001</v>
      </c>
      <c r="G79" s="16">
        <f t="shared" si="40"/>
        <v>988.78</v>
      </c>
      <c r="H79" s="16">
        <f t="shared" si="40"/>
        <v>766.5</v>
      </c>
      <c r="I79" s="16">
        <f t="shared" si="40"/>
        <v>0</v>
      </c>
      <c r="J79" s="16">
        <f t="shared" si="40"/>
        <v>2.78</v>
      </c>
      <c r="K79" s="16">
        <f t="shared" si="40"/>
        <v>6.67</v>
      </c>
      <c r="L79" s="16">
        <f t="shared" si="40"/>
        <v>14.174999999999999</v>
      </c>
      <c r="M79" s="16">
        <f t="shared" si="40"/>
        <v>0</v>
      </c>
      <c r="N79" s="16">
        <f>G79+M79</f>
        <v>988.78</v>
      </c>
      <c r="O79" s="16">
        <f>N79/2</f>
        <v>494.39</v>
      </c>
    </row>
    <row r="80" spans="1:15" ht="18.75">
      <c r="A80" s="18" t="s">
        <v>79</v>
      </c>
      <c r="B80" s="19">
        <v>976.66</v>
      </c>
      <c r="C80" s="19">
        <v>0</v>
      </c>
      <c r="D80" s="19">
        <v>6.83</v>
      </c>
      <c r="E80" s="19">
        <v>1.25</v>
      </c>
      <c r="F80" s="26">
        <f>SUM(C80:E80)*1.5</f>
        <v>12.120000000000001</v>
      </c>
      <c r="G80" s="26">
        <f>B80+F80</f>
        <v>988.78</v>
      </c>
      <c r="H80" s="19">
        <f>436.83+329.67</f>
        <v>766.5</v>
      </c>
      <c r="I80" s="19"/>
      <c r="J80" s="19">
        <v>2.78</v>
      </c>
      <c r="K80" s="19">
        <v>6.67</v>
      </c>
      <c r="L80" s="19">
        <f>SUM(I80:K80)*1.5</f>
        <v>14.174999999999999</v>
      </c>
      <c r="M80" s="26"/>
      <c r="N80" s="26">
        <f aca="true" t="shared" si="41" ref="N80:N95">G80+M80</f>
        <v>988.78</v>
      </c>
      <c r="O80" s="26">
        <f aca="true" t="shared" si="42" ref="O80:O95">N80/2</f>
        <v>494.39</v>
      </c>
    </row>
    <row r="81" spans="1:15" ht="18.75">
      <c r="A81" s="203" t="s">
        <v>125</v>
      </c>
      <c r="B81" s="69">
        <f>B82</f>
        <v>156.48</v>
      </c>
      <c r="C81" s="69">
        <f aca="true" t="shared" si="43" ref="C81:M81">C82</f>
        <v>0</v>
      </c>
      <c r="D81" s="69">
        <f t="shared" si="43"/>
        <v>0</v>
      </c>
      <c r="E81" s="69">
        <f t="shared" si="43"/>
        <v>0</v>
      </c>
      <c r="F81" s="69">
        <f t="shared" si="43"/>
        <v>0</v>
      </c>
      <c r="G81" s="69">
        <f t="shared" si="43"/>
        <v>156.48</v>
      </c>
      <c r="H81" s="69">
        <f t="shared" si="43"/>
        <v>176.39</v>
      </c>
      <c r="I81" s="69">
        <f t="shared" si="43"/>
        <v>0</v>
      </c>
      <c r="J81" s="69">
        <f t="shared" si="43"/>
        <v>0</v>
      </c>
      <c r="K81" s="69">
        <f t="shared" si="43"/>
        <v>0</v>
      </c>
      <c r="L81" s="69">
        <f aca="true" t="shared" si="44" ref="L81:L95">SUM(I81:K81)*1.5</f>
        <v>0</v>
      </c>
      <c r="M81" s="69">
        <f t="shared" si="43"/>
        <v>0</v>
      </c>
      <c r="N81" s="69">
        <f t="shared" si="41"/>
        <v>156.48</v>
      </c>
      <c r="O81" s="69">
        <f t="shared" si="42"/>
        <v>78.24</v>
      </c>
    </row>
    <row r="82" spans="1:15" ht="18.75">
      <c r="A82" s="72" t="s">
        <v>81</v>
      </c>
      <c r="B82" s="73">
        <v>156.48</v>
      </c>
      <c r="C82" s="73">
        <v>0</v>
      </c>
      <c r="D82" s="73">
        <v>0</v>
      </c>
      <c r="E82" s="73">
        <v>0</v>
      </c>
      <c r="F82" s="26">
        <f>SUM(C82:E82)*1.5</f>
        <v>0</v>
      </c>
      <c r="G82" s="100">
        <f>B82+F82</f>
        <v>156.48</v>
      </c>
      <c r="H82" s="73">
        <v>176.39</v>
      </c>
      <c r="I82" s="73"/>
      <c r="J82" s="73"/>
      <c r="K82" s="73"/>
      <c r="L82" s="73">
        <f t="shared" si="44"/>
        <v>0</v>
      </c>
      <c r="M82" s="100"/>
      <c r="N82" s="100">
        <f t="shared" si="41"/>
        <v>156.48</v>
      </c>
      <c r="O82" s="100">
        <f t="shared" si="42"/>
        <v>78.24</v>
      </c>
    </row>
    <row r="83" spans="1:15" ht="18.75">
      <c r="A83" s="66" t="s">
        <v>82</v>
      </c>
      <c r="B83" s="101">
        <f>B84+B86</f>
        <v>0</v>
      </c>
      <c r="C83" s="101">
        <f aca="true" t="shared" si="45" ref="C83:M83">C84+C86</f>
        <v>0</v>
      </c>
      <c r="D83" s="101">
        <f t="shared" si="45"/>
        <v>8.83</v>
      </c>
      <c r="E83" s="101">
        <f t="shared" si="45"/>
        <v>0</v>
      </c>
      <c r="F83" s="101">
        <f t="shared" si="45"/>
        <v>13.245000000000001</v>
      </c>
      <c r="G83" s="101">
        <f t="shared" si="45"/>
        <v>13.245000000000001</v>
      </c>
      <c r="H83" s="101">
        <f t="shared" si="45"/>
        <v>0</v>
      </c>
      <c r="I83" s="101">
        <f t="shared" si="45"/>
        <v>0</v>
      </c>
      <c r="J83" s="101">
        <f t="shared" si="45"/>
        <v>20</v>
      </c>
      <c r="K83" s="101">
        <f t="shared" si="45"/>
        <v>0</v>
      </c>
      <c r="L83" s="101">
        <f t="shared" si="45"/>
        <v>30</v>
      </c>
      <c r="M83" s="101">
        <f t="shared" si="45"/>
        <v>0</v>
      </c>
      <c r="N83" s="101">
        <f>N84+N86</f>
        <v>13.245000000000001</v>
      </c>
      <c r="O83" s="101">
        <f>O84+O86</f>
        <v>6.6225000000000005</v>
      </c>
    </row>
    <row r="84" spans="1:15" ht="18.75">
      <c r="A84" s="72" t="s">
        <v>83</v>
      </c>
      <c r="B84" s="73">
        <v>0</v>
      </c>
      <c r="C84" s="73">
        <v>0</v>
      </c>
      <c r="D84" s="73">
        <v>6.83</v>
      </c>
      <c r="E84" s="73">
        <v>0</v>
      </c>
      <c r="F84" s="26">
        <f>SUM(C84:E84)*1.5</f>
        <v>10.245000000000001</v>
      </c>
      <c r="G84" s="100">
        <f>B84+F84</f>
        <v>10.245000000000001</v>
      </c>
      <c r="H84" s="73"/>
      <c r="I84" s="73"/>
      <c r="J84" s="73">
        <v>13.33</v>
      </c>
      <c r="K84" s="73"/>
      <c r="L84" s="73">
        <f t="shared" si="44"/>
        <v>19.995</v>
      </c>
      <c r="M84" s="100"/>
      <c r="N84" s="100">
        <f t="shared" si="41"/>
        <v>10.245000000000001</v>
      </c>
      <c r="O84" s="100">
        <f t="shared" si="42"/>
        <v>5.1225000000000005</v>
      </c>
    </row>
    <row r="85" spans="1:15" ht="18.75">
      <c r="A85" s="102" t="s">
        <v>73</v>
      </c>
      <c r="B85" s="103">
        <v>0</v>
      </c>
      <c r="C85" s="103">
        <v>0</v>
      </c>
      <c r="D85" s="103">
        <v>4</v>
      </c>
      <c r="E85" s="103">
        <v>0</v>
      </c>
      <c r="F85" s="23">
        <f>SUM(C85:E85)*1.5</f>
        <v>6</v>
      </c>
      <c r="G85" s="103">
        <f>B85+F85</f>
        <v>6</v>
      </c>
      <c r="H85" s="103"/>
      <c r="I85" s="103"/>
      <c r="J85" s="103"/>
      <c r="K85" s="103"/>
      <c r="L85" s="103">
        <f t="shared" si="44"/>
        <v>0</v>
      </c>
      <c r="M85" s="103"/>
      <c r="N85" s="103">
        <f t="shared" si="41"/>
        <v>6</v>
      </c>
      <c r="O85" s="103">
        <f t="shared" si="42"/>
        <v>3</v>
      </c>
    </row>
    <row r="86" spans="1:15" ht="18.75">
      <c r="A86" s="72" t="s">
        <v>84</v>
      </c>
      <c r="B86" s="73">
        <v>0</v>
      </c>
      <c r="C86" s="73">
        <v>0</v>
      </c>
      <c r="D86" s="73">
        <v>2</v>
      </c>
      <c r="E86" s="73">
        <v>0</v>
      </c>
      <c r="F86" s="26">
        <f>SUM(C86:E86)*1.5</f>
        <v>3</v>
      </c>
      <c r="G86" s="100">
        <f>B86+F86</f>
        <v>3</v>
      </c>
      <c r="H86" s="73"/>
      <c r="I86" s="73"/>
      <c r="J86" s="73">
        <v>6.67</v>
      </c>
      <c r="K86" s="73"/>
      <c r="L86" s="73">
        <f t="shared" si="44"/>
        <v>10.004999999999999</v>
      </c>
      <c r="M86" s="100"/>
      <c r="N86" s="100">
        <f t="shared" si="41"/>
        <v>3</v>
      </c>
      <c r="O86" s="100">
        <f t="shared" si="42"/>
        <v>1.5</v>
      </c>
    </row>
    <row r="87" spans="1:15" ht="18.75">
      <c r="A87" s="102" t="s">
        <v>73</v>
      </c>
      <c r="B87" s="103">
        <v>0</v>
      </c>
      <c r="C87" s="103">
        <v>0</v>
      </c>
      <c r="D87" s="103">
        <v>0</v>
      </c>
      <c r="E87" s="103">
        <v>0</v>
      </c>
      <c r="F87" s="23">
        <f>SUM(C87:E87)*1.5</f>
        <v>0</v>
      </c>
      <c r="G87" s="103">
        <f>B87+F87</f>
        <v>0</v>
      </c>
      <c r="H87" s="103"/>
      <c r="I87" s="103"/>
      <c r="J87" s="103"/>
      <c r="K87" s="103"/>
      <c r="L87" s="103">
        <f t="shared" si="44"/>
        <v>0</v>
      </c>
      <c r="M87" s="103"/>
      <c r="N87" s="103">
        <f t="shared" si="41"/>
        <v>0</v>
      </c>
      <c r="O87" s="103">
        <f t="shared" si="42"/>
        <v>0</v>
      </c>
    </row>
    <row r="88" spans="1:15" ht="18.75">
      <c r="A88" s="27" t="s">
        <v>85</v>
      </c>
      <c r="B88" s="28">
        <f aca="true" t="shared" si="46" ref="B88:O88">B89+B93+B96+B100+B106+B109</f>
        <v>2247.17</v>
      </c>
      <c r="C88" s="28">
        <f t="shared" si="46"/>
        <v>0</v>
      </c>
      <c r="D88" s="28">
        <f t="shared" si="46"/>
        <v>18.33</v>
      </c>
      <c r="E88" s="28">
        <f t="shared" si="46"/>
        <v>0</v>
      </c>
      <c r="F88" s="28">
        <f t="shared" si="46"/>
        <v>45.825</v>
      </c>
      <c r="G88" s="28">
        <f t="shared" si="46"/>
        <v>2292.995</v>
      </c>
      <c r="H88" s="28">
        <f t="shared" si="46"/>
        <v>1897.01</v>
      </c>
      <c r="I88" s="28">
        <f t="shared" si="46"/>
        <v>0</v>
      </c>
      <c r="J88" s="28">
        <f t="shared" si="46"/>
        <v>35.220000000000006</v>
      </c>
      <c r="K88" s="28">
        <f t="shared" si="46"/>
        <v>0</v>
      </c>
      <c r="L88" s="28">
        <f t="shared" si="46"/>
        <v>69.50000000000001</v>
      </c>
      <c r="M88" s="28">
        <f t="shared" si="46"/>
        <v>0</v>
      </c>
      <c r="N88" s="28">
        <f t="shared" si="46"/>
        <v>2292.995</v>
      </c>
      <c r="O88" s="28">
        <f t="shared" si="46"/>
        <v>1146.4975</v>
      </c>
    </row>
    <row r="89" spans="1:15" ht="18.75">
      <c r="A89" s="15" t="s">
        <v>86</v>
      </c>
      <c r="B89" s="17">
        <f>B90+B92</f>
        <v>538.17</v>
      </c>
      <c r="C89" s="17">
        <f aca="true" t="shared" si="47" ref="C89:M89">C90+C92</f>
        <v>0</v>
      </c>
      <c r="D89" s="17">
        <f t="shared" si="47"/>
        <v>1</v>
      </c>
      <c r="E89" s="17">
        <f t="shared" si="47"/>
        <v>0</v>
      </c>
      <c r="F89" s="17">
        <f>F90+F92</f>
        <v>2.5</v>
      </c>
      <c r="G89" s="17">
        <f t="shared" si="47"/>
        <v>540.67</v>
      </c>
      <c r="H89" s="17">
        <f t="shared" si="47"/>
        <v>383.06</v>
      </c>
      <c r="I89" s="17">
        <f t="shared" si="47"/>
        <v>0</v>
      </c>
      <c r="J89" s="17">
        <f t="shared" si="47"/>
        <v>1.94</v>
      </c>
      <c r="K89" s="17">
        <f t="shared" si="47"/>
        <v>0</v>
      </c>
      <c r="L89" s="17">
        <f t="shared" si="44"/>
        <v>2.91</v>
      </c>
      <c r="M89" s="17">
        <f t="shared" si="47"/>
        <v>0</v>
      </c>
      <c r="N89" s="17">
        <f t="shared" si="41"/>
        <v>540.67</v>
      </c>
      <c r="O89" s="17">
        <f t="shared" si="42"/>
        <v>270.335</v>
      </c>
    </row>
    <row r="90" spans="1:15" ht="18.75">
      <c r="A90" s="18" t="s">
        <v>87</v>
      </c>
      <c r="B90" s="19">
        <v>447.51</v>
      </c>
      <c r="C90" s="19">
        <v>0</v>
      </c>
      <c r="D90" s="19">
        <v>1</v>
      </c>
      <c r="E90" s="19">
        <v>0</v>
      </c>
      <c r="F90" s="19">
        <f>SUM(C90:E90)*2.5</f>
        <v>2.5</v>
      </c>
      <c r="G90" s="20">
        <f aca="true" t="shared" si="48" ref="G90:G95">B90+F90</f>
        <v>450.01</v>
      </c>
      <c r="H90" s="19">
        <f>149.39+183.5</f>
        <v>332.89</v>
      </c>
      <c r="I90" s="19"/>
      <c r="J90" s="19">
        <v>1.94</v>
      </c>
      <c r="K90" s="19"/>
      <c r="L90" s="19">
        <f>SUM(I90:K90)*2.5</f>
        <v>4.85</v>
      </c>
      <c r="M90" s="20"/>
      <c r="N90" s="20">
        <f t="shared" si="41"/>
        <v>450.01</v>
      </c>
      <c r="O90" s="20">
        <f t="shared" si="42"/>
        <v>225.005</v>
      </c>
    </row>
    <row r="91" spans="1:15" ht="18.75">
      <c r="A91" s="22" t="s">
        <v>23</v>
      </c>
      <c r="B91" s="23">
        <v>0</v>
      </c>
      <c r="C91" s="23">
        <v>0</v>
      </c>
      <c r="D91" s="23">
        <v>1</v>
      </c>
      <c r="E91" s="23">
        <v>0</v>
      </c>
      <c r="F91" s="23">
        <f>SUM(C91:E91)*2.5</f>
        <v>2.5</v>
      </c>
      <c r="G91" s="24">
        <f t="shared" si="48"/>
        <v>2.5</v>
      </c>
      <c r="H91" s="23"/>
      <c r="I91" s="23"/>
      <c r="J91" s="23"/>
      <c r="K91" s="23"/>
      <c r="L91" s="23">
        <f t="shared" si="44"/>
        <v>0</v>
      </c>
      <c r="M91" s="24"/>
      <c r="N91" s="24">
        <f t="shared" si="41"/>
        <v>2.5</v>
      </c>
      <c r="O91" s="24">
        <f t="shared" si="42"/>
        <v>1.25</v>
      </c>
    </row>
    <row r="92" spans="1:15" ht="18.75">
      <c r="A92" s="18" t="s">
        <v>88</v>
      </c>
      <c r="B92" s="19">
        <v>90.66</v>
      </c>
      <c r="C92" s="19">
        <v>0</v>
      </c>
      <c r="D92" s="19">
        <v>0</v>
      </c>
      <c r="E92" s="19">
        <v>0</v>
      </c>
      <c r="F92" s="26">
        <f>SUM(C92:E92)*2.5</f>
        <v>0</v>
      </c>
      <c r="G92" s="20">
        <f t="shared" si="48"/>
        <v>90.66</v>
      </c>
      <c r="H92" s="19">
        <v>50.17</v>
      </c>
      <c r="I92" s="19"/>
      <c r="J92" s="19"/>
      <c r="K92" s="19"/>
      <c r="L92" s="19">
        <f t="shared" si="44"/>
        <v>0</v>
      </c>
      <c r="M92" s="20"/>
      <c r="N92" s="20">
        <f t="shared" si="41"/>
        <v>90.66</v>
      </c>
      <c r="O92" s="20">
        <f t="shared" si="42"/>
        <v>45.33</v>
      </c>
    </row>
    <row r="93" spans="1:15" ht="18.75">
      <c r="A93" s="15" t="s">
        <v>89</v>
      </c>
      <c r="B93" s="16">
        <f>SUM(B94:B95)</f>
        <v>256.04</v>
      </c>
      <c r="C93" s="16">
        <f aca="true" t="shared" si="49" ref="C93:M93">SUM(C94:C95)</f>
        <v>0</v>
      </c>
      <c r="D93" s="16">
        <f t="shared" si="49"/>
        <v>0</v>
      </c>
      <c r="E93" s="16">
        <f t="shared" si="49"/>
        <v>0</v>
      </c>
      <c r="F93" s="16">
        <f t="shared" si="49"/>
        <v>0</v>
      </c>
      <c r="G93" s="16">
        <f t="shared" si="49"/>
        <v>256.04</v>
      </c>
      <c r="H93" s="16">
        <f t="shared" si="49"/>
        <v>263.83</v>
      </c>
      <c r="I93" s="16">
        <f t="shared" si="49"/>
        <v>0</v>
      </c>
      <c r="J93" s="16">
        <f t="shared" si="49"/>
        <v>0</v>
      </c>
      <c r="K93" s="16">
        <f t="shared" si="49"/>
        <v>0</v>
      </c>
      <c r="L93" s="16">
        <f t="shared" si="44"/>
        <v>0</v>
      </c>
      <c r="M93" s="16">
        <f t="shared" si="49"/>
        <v>0</v>
      </c>
      <c r="N93" s="16">
        <f t="shared" si="41"/>
        <v>256.04</v>
      </c>
      <c r="O93" s="16">
        <f t="shared" si="42"/>
        <v>128.02</v>
      </c>
    </row>
    <row r="94" spans="1:15" ht="18.75">
      <c r="A94" s="18" t="s">
        <v>90</v>
      </c>
      <c r="B94" s="19">
        <v>159.87</v>
      </c>
      <c r="C94" s="19">
        <v>0</v>
      </c>
      <c r="D94" s="19">
        <v>0</v>
      </c>
      <c r="E94" s="19">
        <v>0</v>
      </c>
      <c r="F94" s="26">
        <f>SUM(C94:E94)*2.5</f>
        <v>0</v>
      </c>
      <c r="G94" s="20">
        <f>B94+F94</f>
        <v>159.87</v>
      </c>
      <c r="H94" s="19">
        <v>177</v>
      </c>
      <c r="I94" s="19"/>
      <c r="J94" s="19"/>
      <c r="K94" s="19"/>
      <c r="L94" s="19">
        <f t="shared" si="44"/>
        <v>0</v>
      </c>
      <c r="M94" s="20"/>
      <c r="N94" s="20">
        <f t="shared" si="41"/>
        <v>159.87</v>
      </c>
      <c r="O94" s="20">
        <f t="shared" si="42"/>
        <v>79.935</v>
      </c>
    </row>
    <row r="95" spans="1:15" ht="18.75">
      <c r="A95" s="18" t="s">
        <v>91</v>
      </c>
      <c r="B95" s="19">
        <v>96.17</v>
      </c>
      <c r="C95" s="19">
        <v>0</v>
      </c>
      <c r="D95" s="19">
        <v>0</v>
      </c>
      <c r="E95" s="19">
        <v>0</v>
      </c>
      <c r="F95" s="26">
        <f>SUM(C95:E95)*2.5</f>
        <v>0</v>
      </c>
      <c r="G95" s="20">
        <f t="shared" si="48"/>
        <v>96.17</v>
      </c>
      <c r="H95" s="19">
        <v>86.83</v>
      </c>
      <c r="I95" s="19"/>
      <c r="J95" s="19"/>
      <c r="K95" s="19"/>
      <c r="L95" s="19">
        <f t="shared" si="44"/>
        <v>0</v>
      </c>
      <c r="M95" s="20"/>
      <c r="N95" s="20">
        <f t="shared" si="41"/>
        <v>96.17</v>
      </c>
      <c r="O95" s="20">
        <f t="shared" si="42"/>
        <v>48.085</v>
      </c>
    </row>
    <row r="96" spans="1:15" ht="18.75">
      <c r="A96" s="15" t="s">
        <v>92</v>
      </c>
      <c r="B96" s="17">
        <f>B97+B99</f>
        <v>243.45</v>
      </c>
      <c r="C96" s="17">
        <f aca="true" t="shared" si="50" ref="C96:M96">C97+C99</f>
        <v>0</v>
      </c>
      <c r="D96" s="17">
        <f t="shared" si="50"/>
        <v>8.42</v>
      </c>
      <c r="E96" s="17">
        <f t="shared" si="50"/>
        <v>0</v>
      </c>
      <c r="F96" s="17">
        <f t="shared" si="50"/>
        <v>21.05</v>
      </c>
      <c r="G96" s="17">
        <f t="shared" si="50"/>
        <v>264.5</v>
      </c>
      <c r="H96" s="17">
        <f t="shared" si="50"/>
        <v>250.62</v>
      </c>
      <c r="I96" s="17">
        <f t="shared" si="50"/>
        <v>0</v>
      </c>
      <c r="J96" s="17">
        <f t="shared" si="50"/>
        <v>16.67</v>
      </c>
      <c r="K96" s="17">
        <f t="shared" si="50"/>
        <v>0</v>
      </c>
      <c r="L96" s="17">
        <f t="shared" si="50"/>
        <v>41.675000000000004</v>
      </c>
      <c r="M96" s="17">
        <f t="shared" si="50"/>
        <v>0</v>
      </c>
      <c r="N96" s="17">
        <f>G96+M96</f>
        <v>264.5</v>
      </c>
      <c r="O96" s="17">
        <f>N96/2</f>
        <v>132.25</v>
      </c>
    </row>
    <row r="97" spans="1:15" ht="18.75">
      <c r="A97" s="18" t="s">
        <v>93</v>
      </c>
      <c r="B97" s="19">
        <v>238</v>
      </c>
      <c r="C97" s="19">
        <v>0</v>
      </c>
      <c r="D97" s="19">
        <v>8.42</v>
      </c>
      <c r="E97" s="19">
        <v>0</v>
      </c>
      <c r="F97" s="26">
        <f>SUM(C97:E97)*2.5</f>
        <v>21.05</v>
      </c>
      <c r="G97" s="20">
        <f>B97+F97</f>
        <v>259.05</v>
      </c>
      <c r="H97" s="19">
        <f>105.28+140.06</f>
        <v>245.34</v>
      </c>
      <c r="I97" s="19"/>
      <c r="J97" s="19">
        <v>16.67</v>
      </c>
      <c r="K97" s="19"/>
      <c r="L97" s="19">
        <f>SUM(I97:K97)*2.5</f>
        <v>41.675000000000004</v>
      </c>
      <c r="M97" s="20"/>
      <c r="N97" s="20">
        <f aca="true" t="shared" si="51" ref="N97:N111">G97+M97</f>
        <v>259.05</v>
      </c>
      <c r="O97" s="20">
        <f aca="true" t="shared" si="52" ref="O97:O111">N97/2</f>
        <v>129.525</v>
      </c>
    </row>
    <row r="98" spans="1:15" ht="18.75">
      <c r="A98" s="22" t="s">
        <v>23</v>
      </c>
      <c r="B98" s="23">
        <v>0</v>
      </c>
      <c r="C98" s="23">
        <v>0</v>
      </c>
      <c r="D98" s="23">
        <v>4.5</v>
      </c>
      <c r="E98" s="23">
        <v>0</v>
      </c>
      <c r="F98" s="23">
        <f>SUM(C98:E98)*2.5</f>
        <v>11.25</v>
      </c>
      <c r="G98" s="24">
        <f>B98+F98</f>
        <v>11.25</v>
      </c>
      <c r="H98" s="23"/>
      <c r="I98" s="23"/>
      <c r="J98" s="23"/>
      <c r="K98" s="23"/>
      <c r="L98" s="23">
        <f aca="true" t="shared" si="53" ref="L98:L111">SUM(I98:K98)*1.5</f>
        <v>0</v>
      </c>
      <c r="M98" s="24"/>
      <c r="N98" s="24">
        <f t="shared" si="51"/>
        <v>11.25</v>
      </c>
      <c r="O98" s="24">
        <f t="shared" si="52"/>
        <v>5.625</v>
      </c>
    </row>
    <row r="99" spans="1:15" ht="18.75">
      <c r="A99" s="18" t="s">
        <v>94</v>
      </c>
      <c r="B99" s="19">
        <v>5.45</v>
      </c>
      <c r="C99" s="19">
        <v>0</v>
      </c>
      <c r="D99" s="19">
        <v>0</v>
      </c>
      <c r="E99" s="19">
        <v>0</v>
      </c>
      <c r="F99" s="26">
        <f>SUM(C99:E99)*2.5</f>
        <v>0</v>
      </c>
      <c r="G99" s="20">
        <f>B99+F99</f>
        <v>5.45</v>
      </c>
      <c r="H99" s="19">
        <v>5.28</v>
      </c>
      <c r="I99" s="19"/>
      <c r="J99" s="19"/>
      <c r="K99" s="19"/>
      <c r="L99" s="19">
        <f t="shared" si="53"/>
        <v>0</v>
      </c>
      <c r="M99" s="20"/>
      <c r="N99" s="20">
        <f t="shared" si="51"/>
        <v>5.45</v>
      </c>
      <c r="O99" s="20">
        <f t="shared" si="52"/>
        <v>2.725</v>
      </c>
    </row>
    <row r="100" spans="1:15" ht="18.75">
      <c r="A100" s="15" t="s">
        <v>95</v>
      </c>
      <c r="B100" s="17">
        <f>B101+B103+B105</f>
        <v>422.51</v>
      </c>
      <c r="C100" s="17">
        <f aca="true" t="shared" si="54" ref="C100:M100">C101+C103+C105</f>
        <v>0</v>
      </c>
      <c r="D100" s="17">
        <f t="shared" si="54"/>
        <v>5.83</v>
      </c>
      <c r="E100" s="17">
        <f t="shared" si="54"/>
        <v>0</v>
      </c>
      <c r="F100" s="17">
        <f t="shared" si="54"/>
        <v>14.575</v>
      </c>
      <c r="G100" s="17">
        <f t="shared" si="54"/>
        <v>437.085</v>
      </c>
      <c r="H100" s="17">
        <f t="shared" si="54"/>
        <v>411.78000000000003</v>
      </c>
      <c r="I100" s="17">
        <f t="shared" si="54"/>
        <v>0</v>
      </c>
      <c r="J100" s="17">
        <f t="shared" si="54"/>
        <v>10</v>
      </c>
      <c r="K100" s="17">
        <f t="shared" si="54"/>
        <v>0</v>
      </c>
      <c r="L100" s="17">
        <f t="shared" si="53"/>
        <v>15</v>
      </c>
      <c r="M100" s="17">
        <f t="shared" si="54"/>
        <v>0</v>
      </c>
      <c r="N100" s="17">
        <f t="shared" si="51"/>
        <v>437.085</v>
      </c>
      <c r="O100" s="17">
        <f t="shared" si="52"/>
        <v>218.5425</v>
      </c>
    </row>
    <row r="101" spans="1:15" ht="18.75">
      <c r="A101" s="18" t="s">
        <v>96</v>
      </c>
      <c r="B101" s="19">
        <v>408.96</v>
      </c>
      <c r="C101" s="19">
        <v>0</v>
      </c>
      <c r="D101" s="19">
        <v>0.75</v>
      </c>
      <c r="E101" s="19">
        <v>0</v>
      </c>
      <c r="F101" s="26">
        <f>SUM(C101:E101)*2.5</f>
        <v>1.875</v>
      </c>
      <c r="G101" s="20">
        <f>B101+F101</f>
        <v>410.835</v>
      </c>
      <c r="H101" s="19">
        <f>83.78+306.33</f>
        <v>390.11</v>
      </c>
      <c r="I101" s="19"/>
      <c r="J101" s="19">
        <v>1.95</v>
      </c>
      <c r="K101" s="19"/>
      <c r="L101" s="19">
        <f>SUM(I101:K101)*2.5</f>
        <v>4.875</v>
      </c>
      <c r="M101" s="20"/>
      <c r="N101" s="20">
        <f t="shared" si="51"/>
        <v>410.835</v>
      </c>
      <c r="O101" s="20">
        <f t="shared" si="52"/>
        <v>205.4175</v>
      </c>
    </row>
    <row r="102" spans="1:15" ht="18.75">
      <c r="A102" s="22" t="s">
        <v>23</v>
      </c>
      <c r="B102" s="23">
        <v>0</v>
      </c>
      <c r="C102" s="23">
        <v>0</v>
      </c>
      <c r="D102" s="23">
        <v>0.5</v>
      </c>
      <c r="E102" s="23">
        <v>0</v>
      </c>
      <c r="F102" s="23">
        <f>SUM(C102:E102)*2.5</f>
        <v>1.25</v>
      </c>
      <c r="G102" s="24">
        <f>B102+F102</f>
        <v>1.25</v>
      </c>
      <c r="H102" s="23"/>
      <c r="I102" s="23"/>
      <c r="J102" s="23"/>
      <c r="K102" s="23"/>
      <c r="L102" s="23">
        <f t="shared" si="53"/>
        <v>0</v>
      </c>
      <c r="M102" s="24"/>
      <c r="N102" s="24">
        <f t="shared" si="51"/>
        <v>1.25</v>
      </c>
      <c r="O102" s="24">
        <f t="shared" si="52"/>
        <v>0.625</v>
      </c>
    </row>
    <row r="103" spans="1:15" ht="18.75">
      <c r="A103" s="18" t="s">
        <v>97</v>
      </c>
      <c r="B103" s="19">
        <v>0</v>
      </c>
      <c r="C103" s="19">
        <v>0</v>
      </c>
      <c r="D103" s="19">
        <v>5.08</v>
      </c>
      <c r="E103" s="19">
        <v>0</v>
      </c>
      <c r="F103" s="26">
        <f>SUM(C103:E103)*2.5</f>
        <v>12.7</v>
      </c>
      <c r="G103" s="20">
        <f>B103+F103</f>
        <v>12.7</v>
      </c>
      <c r="H103" s="19"/>
      <c r="I103" s="19"/>
      <c r="J103" s="19">
        <v>8.05</v>
      </c>
      <c r="K103" s="19"/>
      <c r="L103" s="19">
        <f>SUM(I103:K103)*2.5</f>
        <v>20.125</v>
      </c>
      <c r="M103" s="20"/>
      <c r="N103" s="20">
        <f t="shared" si="51"/>
        <v>12.7</v>
      </c>
      <c r="O103" s="20">
        <f t="shared" si="52"/>
        <v>6.35</v>
      </c>
    </row>
    <row r="104" spans="1:15" ht="18.75">
      <c r="A104" s="22" t="s">
        <v>23</v>
      </c>
      <c r="B104" s="23">
        <v>0</v>
      </c>
      <c r="C104" s="23">
        <v>0</v>
      </c>
      <c r="D104" s="23">
        <v>0</v>
      </c>
      <c r="E104" s="23">
        <v>0</v>
      </c>
      <c r="F104" s="23">
        <f>SUM(C104:E104)*2.5</f>
        <v>0</v>
      </c>
      <c r="G104" s="24">
        <f>B104+F104</f>
        <v>0</v>
      </c>
      <c r="H104" s="23"/>
      <c r="I104" s="23"/>
      <c r="J104" s="23"/>
      <c r="K104" s="23"/>
      <c r="L104" s="23">
        <f t="shared" si="53"/>
        <v>0</v>
      </c>
      <c r="M104" s="24"/>
      <c r="N104" s="24">
        <f t="shared" si="51"/>
        <v>0</v>
      </c>
      <c r="O104" s="24">
        <f t="shared" si="52"/>
        <v>0</v>
      </c>
    </row>
    <row r="105" spans="1:15" ht="18.75">
      <c r="A105" s="18" t="s">
        <v>98</v>
      </c>
      <c r="B105" s="19">
        <v>13.55</v>
      </c>
      <c r="C105" s="19">
        <v>0</v>
      </c>
      <c r="D105" s="19">
        <v>0</v>
      </c>
      <c r="E105" s="19">
        <v>0</v>
      </c>
      <c r="F105" s="26">
        <f>SUM(C105:E105)*2.5</f>
        <v>0</v>
      </c>
      <c r="G105" s="20">
        <f>B105+F105</f>
        <v>13.55</v>
      </c>
      <c r="H105" s="19">
        <v>21.67</v>
      </c>
      <c r="I105" s="19"/>
      <c r="J105" s="19"/>
      <c r="K105" s="19"/>
      <c r="L105" s="19">
        <f t="shared" si="53"/>
        <v>0</v>
      </c>
      <c r="M105" s="20"/>
      <c r="N105" s="20">
        <f t="shared" si="51"/>
        <v>13.55</v>
      </c>
      <c r="O105" s="20">
        <f t="shared" si="52"/>
        <v>6.775</v>
      </c>
    </row>
    <row r="106" spans="1:15" ht="18.75">
      <c r="A106" s="15" t="s">
        <v>99</v>
      </c>
      <c r="B106" s="17">
        <f>B107</f>
        <v>512.11</v>
      </c>
      <c r="C106" s="17">
        <f aca="true" t="shared" si="55" ref="C106:M106">C107</f>
        <v>0</v>
      </c>
      <c r="D106" s="17">
        <f t="shared" si="55"/>
        <v>3.08</v>
      </c>
      <c r="E106" s="17">
        <f t="shared" si="55"/>
        <v>0</v>
      </c>
      <c r="F106" s="17">
        <f t="shared" si="55"/>
        <v>7.7</v>
      </c>
      <c r="G106" s="17">
        <f t="shared" si="55"/>
        <v>519.8100000000001</v>
      </c>
      <c r="H106" s="17">
        <f t="shared" si="55"/>
        <v>452</v>
      </c>
      <c r="I106" s="17">
        <f t="shared" si="55"/>
        <v>0</v>
      </c>
      <c r="J106" s="17">
        <f t="shared" si="55"/>
        <v>6.61</v>
      </c>
      <c r="K106" s="17">
        <f t="shared" si="55"/>
        <v>0</v>
      </c>
      <c r="L106" s="17">
        <f t="shared" si="53"/>
        <v>9.915000000000001</v>
      </c>
      <c r="M106" s="17">
        <f t="shared" si="55"/>
        <v>0</v>
      </c>
      <c r="N106" s="17">
        <f t="shared" si="51"/>
        <v>519.8100000000001</v>
      </c>
      <c r="O106" s="17">
        <f t="shared" si="52"/>
        <v>259.90500000000003</v>
      </c>
    </row>
    <row r="107" spans="1:15" ht="18.75">
      <c r="A107" s="18" t="s">
        <v>100</v>
      </c>
      <c r="B107" s="19">
        <v>512.11</v>
      </c>
      <c r="C107" s="19">
        <v>0</v>
      </c>
      <c r="D107" s="19">
        <v>3.08</v>
      </c>
      <c r="E107" s="19">
        <v>0</v>
      </c>
      <c r="F107" s="26">
        <f>SUM(C107:E107)*2.5</f>
        <v>7.7</v>
      </c>
      <c r="G107" s="20">
        <f>B107+F107</f>
        <v>519.8100000000001</v>
      </c>
      <c r="H107" s="19">
        <f>68.89+383.11</f>
        <v>452</v>
      </c>
      <c r="I107" s="19"/>
      <c r="J107" s="19">
        <v>6.61</v>
      </c>
      <c r="K107" s="19"/>
      <c r="L107" s="19">
        <f>SUM(I107:K107)*2.5</f>
        <v>16.525000000000002</v>
      </c>
      <c r="M107" s="20"/>
      <c r="N107" s="20">
        <f t="shared" si="51"/>
        <v>519.8100000000001</v>
      </c>
      <c r="O107" s="20">
        <f t="shared" si="52"/>
        <v>259.90500000000003</v>
      </c>
    </row>
    <row r="108" spans="1:15" ht="18.75">
      <c r="A108" s="22" t="s">
        <v>23</v>
      </c>
      <c r="B108" s="23">
        <v>0</v>
      </c>
      <c r="C108" s="23">
        <v>0</v>
      </c>
      <c r="D108" s="23">
        <v>3.25</v>
      </c>
      <c r="E108" s="23">
        <v>0</v>
      </c>
      <c r="F108" s="23">
        <f>SUM(C108:E108)*2.5</f>
        <v>8.125</v>
      </c>
      <c r="G108" s="24">
        <f>B108+F108</f>
        <v>8.125</v>
      </c>
      <c r="H108" s="23"/>
      <c r="I108" s="23"/>
      <c r="J108" s="23"/>
      <c r="K108" s="23"/>
      <c r="L108" s="23">
        <f t="shared" si="53"/>
        <v>0</v>
      </c>
      <c r="M108" s="24"/>
      <c r="N108" s="24">
        <f t="shared" si="51"/>
        <v>8.125</v>
      </c>
      <c r="O108" s="24">
        <f t="shared" si="52"/>
        <v>4.0625</v>
      </c>
    </row>
    <row r="109" spans="1:15" ht="18.75">
      <c r="A109" s="15" t="s">
        <v>101</v>
      </c>
      <c r="B109" s="16">
        <f>SUM(B110:B111)</f>
        <v>274.89</v>
      </c>
      <c r="C109" s="16">
        <f aca="true" t="shared" si="56" ref="C109:M109">SUM(C110:C111)</f>
        <v>0</v>
      </c>
      <c r="D109" s="16">
        <f t="shared" si="56"/>
        <v>0</v>
      </c>
      <c r="E109" s="16">
        <f t="shared" si="56"/>
        <v>0</v>
      </c>
      <c r="F109" s="16">
        <f t="shared" si="56"/>
        <v>0</v>
      </c>
      <c r="G109" s="16">
        <f t="shared" si="56"/>
        <v>274.89</v>
      </c>
      <c r="H109" s="16">
        <f t="shared" si="56"/>
        <v>135.72</v>
      </c>
      <c r="I109" s="16">
        <f t="shared" si="56"/>
        <v>0</v>
      </c>
      <c r="J109" s="16">
        <f t="shared" si="56"/>
        <v>0</v>
      </c>
      <c r="K109" s="16">
        <f t="shared" si="56"/>
        <v>0</v>
      </c>
      <c r="L109" s="16">
        <f t="shared" si="53"/>
        <v>0</v>
      </c>
      <c r="M109" s="16">
        <f t="shared" si="56"/>
        <v>0</v>
      </c>
      <c r="N109" s="16">
        <f t="shared" si="51"/>
        <v>274.89</v>
      </c>
      <c r="O109" s="16">
        <f t="shared" si="52"/>
        <v>137.445</v>
      </c>
    </row>
    <row r="110" spans="1:15" ht="18.75">
      <c r="A110" s="18" t="s">
        <v>102</v>
      </c>
      <c r="B110" s="19">
        <v>25.68</v>
      </c>
      <c r="C110" s="19">
        <v>0</v>
      </c>
      <c r="D110" s="19">
        <v>0</v>
      </c>
      <c r="E110" s="19">
        <v>0</v>
      </c>
      <c r="F110" s="26">
        <f>SUM(C110:E110)*2.5</f>
        <v>0</v>
      </c>
      <c r="G110" s="20">
        <f>B110+F110</f>
        <v>25.68</v>
      </c>
      <c r="H110" s="19">
        <v>23.72</v>
      </c>
      <c r="I110" s="19"/>
      <c r="J110" s="19"/>
      <c r="K110" s="19"/>
      <c r="L110" s="19">
        <f t="shared" si="53"/>
        <v>0</v>
      </c>
      <c r="M110" s="20"/>
      <c r="N110" s="20">
        <f t="shared" si="51"/>
        <v>25.68</v>
      </c>
      <c r="O110" s="20">
        <f t="shared" si="52"/>
        <v>12.84</v>
      </c>
    </row>
    <row r="111" spans="1:15" ht="18.75">
      <c r="A111" s="18" t="s">
        <v>103</v>
      </c>
      <c r="B111" s="19">
        <v>249.21</v>
      </c>
      <c r="C111" s="19">
        <v>0</v>
      </c>
      <c r="D111" s="19">
        <v>0</v>
      </c>
      <c r="E111" s="19">
        <v>0</v>
      </c>
      <c r="F111" s="26">
        <f>SUM(C111:E111)*2.5</f>
        <v>0</v>
      </c>
      <c r="G111" s="20">
        <f>B111+F111</f>
        <v>249.21</v>
      </c>
      <c r="H111" s="19">
        <v>112</v>
      </c>
      <c r="I111" s="19"/>
      <c r="J111" s="19"/>
      <c r="K111" s="19"/>
      <c r="L111" s="19">
        <f t="shared" si="53"/>
        <v>0</v>
      </c>
      <c r="M111" s="20"/>
      <c r="N111" s="20">
        <f t="shared" si="51"/>
        <v>249.21</v>
      </c>
      <c r="O111" s="20">
        <f t="shared" si="52"/>
        <v>124.605</v>
      </c>
    </row>
    <row r="112" spans="1:15" ht="18.75">
      <c r="A112" s="27" t="s">
        <v>104</v>
      </c>
      <c r="B112" s="28">
        <f>SUM(B113:B115)</f>
        <v>655.22</v>
      </c>
      <c r="C112" s="28">
        <f aca="true" t="shared" si="57" ref="C112:M112">SUM(C113:C115)</f>
        <v>0</v>
      </c>
      <c r="D112" s="28">
        <f t="shared" si="57"/>
        <v>0</v>
      </c>
      <c r="E112" s="28">
        <f t="shared" si="57"/>
        <v>0</v>
      </c>
      <c r="F112" s="28">
        <f t="shared" si="57"/>
        <v>0</v>
      </c>
      <c r="G112" s="28">
        <f t="shared" si="57"/>
        <v>655.22</v>
      </c>
      <c r="H112" s="28">
        <f t="shared" si="57"/>
        <v>492.6700000000001</v>
      </c>
      <c r="I112" s="28">
        <f t="shared" si="57"/>
        <v>0</v>
      </c>
      <c r="J112" s="28">
        <f t="shared" si="57"/>
        <v>0</v>
      </c>
      <c r="K112" s="28">
        <f t="shared" si="57"/>
        <v>0</v>
      </c>
      <c r="L112" s="28">
        <f t="shared" si="57"/>
        <v>0</v>
      </c>
      <c r="M112" s="28">
        <f t="shared" si="57"/>
        <v>0</v>
      </c>
      <c r="N112" s="28">
        <f aca="true" t="shared" si="58" ref="N112:N120">SUM(G112+M112)</f>
        <v>655.22</v>
      </c>
      <c r="O112" s="28">
        <f aca="true" t="shared" si="59" ref="O112:O120">N112/2</f>
        <v>327.61</v>
      </c>
    </row>
    <row r="113" spans="1:15" ht="18.75">
      <c r="A113" s="15" t="s">
        <v>105</v>
      </c>
      <c r="B113" s="16">
        <v>487.67</v>
      </c>
      <c r="C113" s="16">
        <v>0</v>
      </c>
      <c r="D113" s="16">
        <v>0</v>
      </c>
      <c r="E113" s="16">
        <v>0</v>
      </c>
      <c r="F113" s="16">
        <f>SUM(C113:E113)*2.5</f>
        <v>0</v>
      </c>
      <c r="G113" s="17">
        <f>B113+F113</f>
        <v>487.67</v>
      </c>
      <c r="H113" s="16">
        <f>91.28+277.06</f>
        <v>368.34000000000003</v>
      </c>
      <c r="I113" s="16"/>
      <c r="J113" s="16"/>
      <c r="K113" s="16"/>
      <c r="L113" s="16"/>
      <c r="M113" s="17"/>
      <c r="N113" s="17">
        <f t="shared" si="58"/>
        <v>487.67</v>
      </c>
      <c r="O113" s="17">
        <f t="shared" si="59"/>
        <v>243.835</v>
      </c>
    </row>
    <row r="114" spans="1:15" ht="18.75">
      <c r="A114" s="15" t="s">
        <v>106</v>
      </c>
      <c r="B114" s="16">
        <v>72.99</v>
      </c>
      <c r="C114" s="16">
        <v>0</v>
      </c>
      <c r="D114" s="16">
        <v>0</v>
      </c>
      <c r="E114" s="16">
        <v>0</v>
      </c>
      <c r="F114" s="16">
        <f>SUM(C114:E114)*2.5</f>
        <v>0</v>
      </c>
      <c r="G114" s="17">
        <f>B114+F114</f>
        <v>72.99</v>
      </c>
      <c r="H114" s="16">
        <v>74.11</v>
      </c>
      <c r="I114" s="16"/>
      <c r="J114" s="16"/>
      <c r="K114" s="16"/>
      <c r="L114" s="16"/>
      <c r="M114" s="17"/>
      <c r="N114" s="17">
        <f t="shared" si="58"/>
        <v>72.99</v>
      </c>
      <c r="O114" s="17">
        <f t="shared" si="59"/>
        <v>36.495</v>
      </c>
    </row>
    <row r="115" spans="1:15" ht="18.75">
      <c r="A115" s="15" t="s">
        <v>107</v>
      </c>
      <c r="B115" s="16">
        <v>94.56</v>
      </c>
      <c r="C115" s="16">
        <v>0</v>
      </c>
      <c r="D115" s="16">
        <v>0</v>
      </c>
      <c r="E115" s="16">
        <v>0</v>
      </c>
      <c r="F115" s="16">
        <f>SUM(C115:E115)*2.5</f>
        <v>0</v>
      </c>
      <c r="G115" s="17">
        <f>B115+F115</f>
        <v>94.56</v>
      </c>
      <c r="H115" s="16">
        <v>50.22</v>
      </c>
      <c r="I115" s="16"/>
      <c r="J115" s="16"/>
      <c r="K115" s="16"/>
      <c r="L115" s="16"/>
      <c r="M115" s="17"/>
      <c r="N115" s="17">
        <f t="shared" si="58"/>
        <v>94.56</v>
      </c>
      <c r="O115" s="17">
        <f t="shared" si="59"/>
        <v>47.28</v>
      </c>
    </row>
    <row r="116" spans="1:15" ht="18.75">
      <c r="A116" s="27" t="s">
        <v>108</v>
      </c>
      <c r="B116" s="113">
        <f>SUM(B117:B118)</f>
        <v>194.24</v>
      </c>
      <c r="C116" s="113">
        <f aca="true" t="shared" si="60" ref="C116:M116">SUM(C117:C118)</f>
        <v>0</v>
      </c>
      <c r="D116" s="113">
        <f t="shared" si="60"/>
        <v>0</v>
      </c>
      <c r="E116" s="113">
        <f t="shared" si="60"/>
        <v>0</v>
      </c>
      <c r="F116" s="113">
        <f t="shared" si="60"/>
        <v>0</v>
      </c>
      <c r="G116" s="113">
        <f t="shared" si="60"/>
        <v>194.24</v>
      </c>
      <c r="H116" s="113">
        <f t="shared" si="60"/>
        <v>292.55</v>
      </c>
      <c r="I116" s="113">
        <f t="shared" si="60"/>
        <v>0</v>
      </c>
      <c r="J116" s="113">
        <f t="shared" si="60"/>
        <v>0</v>
      </c>
      <c r="K116" s="113">
        <f t="shared" si="60"/>
        <v>0</v>
      </c>
      <c r="L116" s="113">
        <f t="shared" si="60"/>
        <v>0</v>
      </c>
      <c r="M116" s="113">
        <f t="shared" si="60"/>
        <v>0</v>
      </c>
      <c r="N116" s="113">
        <f t="shared" si="58"/>
        <v>194.24</v>
      </c>
      <c r="O116" s="113">
        <f t="shared" si="59"/>
        <v>97.12</v>
      </c>
    </row>
    <row r="117" spans="1:15" ht="18.75">
      <c r="A117" s="15" t="s">
        <v>109</v>
      </c>
      <c r="B117" s="16">
        <v>103.5</v>
      </c>
      <c r="C117" s="16">
        <v>0</v>
      </c>
      <c r="D117" s="16">
        <v>0</v>
      </c>
      <c r="E117" s="16">
        <v>0</v>
      </c>
      <c r="F117" s="16">
        <f>SUM(C117:E117)*2.5</f>
        <v>0</v>
      </c>
      <c r="G117" s="17">
        <f>B117+F117</f>
        <v>103.5</v>
      </c>
      <c r="H117" s="16">
        <v>120.61</v>
      </c>
      <c r="I117" s="16"/>
      <c r="J117" s="16"/>
      <c r="K117" s="16"/>
      <c r="L117" s="16"/>
      <c r="M117" s="17"/>
      <c r="N117" s="17">
        <f t="shared" si="58"/>
        <v>103.5</v>
      </c>
      <c r="O117" s="17">
        <f t="shared" si="59"/>
        <v>51.75</v>
      </c>
    </row>
    <row r="118" spans="1:15" ht="18.75">
      <c r="A118" s="15" t="s">
        <v>110</v>
      </c>
      <c r="B118" s="16">
        <f>SUM(B119:B120)</f>
        <v>90.74</v>
      </c>
      <c r="C118" s="16">
        <f aca="true" t="shared" si="61" ref="C118:M118">SUM(C119:C120)</f>
        <v>0</v>
      </c>
      <c r="D118" s="16">
        <f t="shared" si="61"/>
        <v>0</v>
      </c>
      <c r="E118" s="16">
        <f t="shared" si="61"/>
        <v>0</v>
      </c>
      <c r="F118" s="16">
        <f t="shared" si="61"/>
        <v>0</v>
      </c>
      <c r="G118" s="16">
        <f t="shared" si="61"/>
        <v>90.74</v>
      </c>
      <c r="H118" s="16">
        <f t="shared" si="61"/>
        <v>171.94</v>
      </c>
      <c r="I118" s="16">
        <f t="shared" si="61"/>
        <v>0</v>
      </c>
      <c r="J118" s="16">
        <f t="shared" si="61"/>
        <v>0</v>
      </c>
      <c r="K118" s="16">
        <f t="shared" si="61"/>
        <v>0</v>
      </c>
      <c r="L118" s="16">
        <f t="shared" si="61"/>
        <v>0</v>
      </c>
      <c r="M118" s="16">
        <f t="shared" si="61"/>
        <v>0</v>
      </c>
      <c r="N118" s="16">
        <f t="shared" si="58"/>
        <v>90.74</v>
      </c>
      <c r="O118" s="16">
        <f t="shared" si="59"/>
        <v>45.37</v>
      </c>
    </row>
    <row r="119" spans="1:15" ht="18.75">
      <c r="A119" s="18" t="s">
        <v>111</v>
      </c>
      <c r="B119" s="19">
        <v>26.49</v>
      </c>
      <c r="C119" s="19">
        <v>0</v>
      </c>
      <c r="D119" s="19">
        <v>0</v>
      </c>
      <c r="E119" s="19">
        <v>0</v>
      </c>
      <c r="F119" s="26">
        <f>SUM(C119:E119)*2.5</f>
        <v>0</v>
      </c>
      <c r="G119" s="20">
        <f>B119+F119</f>
        <v>26.49</v>
      </c>
      <c r="H119" s="19">
        <v>137.94</v>
      </c>
      <c r="I119" s="19"/>
      <c r="J119" s="19"/>
      <c r="K119" s="19"/>
      <c r="L119" s="26"/>
      <c r="M119" s="20"/>
      <c r="N119" s="20">
        <f t="shared" si="58"/>
        <v>26.49</v>
      </c>
      <c r="O119" s="20">
        <f t="shared" si="59"/>
        <v>13.245</v>
      </c>
    </row>
    <row r="120" spans="1:15" ht="18.75">
      <c r="A120" s="18" t="s">
        <v>112</v>
      </c>
      <c r="B120" s="19">
        <v>64.25</v>
      </c>
      <c r="C120" s="19">
        <v>0</v>
      </c>
      <c r="D120" s="19">
        <v>0</v>
      </c>
      <c r="E120" s="19">
        <v>0</v>
      </c>
      <c r="F120" s="26">
        <f>SUM(C120:E120)*2.5</f>
        <v>0</v>
      </c>
      <c r="G120" s="20">
        <f>B120+F120</f>
        <v>64.25</v>
      </c>
      <c r="H120" s="19">
        <v>34</v>
      </c>
      <c r="I120" s="19"/>
      <c r="J120" s="19"/>
      <c r="K120" s="19"/>
      <c r="L120" s="26"/>
      <c r="M120" s="20"/>
      <c r="N120" s="20">
        <f t="shared" si="58"/>
        <v>64.25</v>
      </c>
      <c r="O120" s="20">
        <f t="shared" si="59"/>
        <v>32.125</v>
      </c>
    </row>
    <row r="121" spans="1:15" ht="18.75">
      <c r="A121" s="238"/>
      <c r="B121" s="239"/>
      <c r="C121" s="239"/>
      <c r="D121" s="239"/>
      <c r="E121" s="239"/>
      <c r="F121" s="241"/>
      <c r="G121" s="240"/>
      <c r="H121" s="239"/>
      <c r="I121" s="239"/>
      <c r="J121" s="239"/>
      <c r="K121" s="239"/>
      <c r="L121" s="241"/>
      <c r="M121" s="240"/>
      <c r="N121" s="240"/>
      <c r="O121" s="240"/>
    </row>
    <row r="122" spans="1:15" ht="18.75">
      <c r="A122" s="116" t="s">
        <v>164</v>
      </c>
      <c r="B122" s="116"/>
      <c r="C122" s="116"/>
      <c r="D122" s="116"/>
      <c r="E122" s="116"/>
      <c r="F122" s="116"/>
      <c r="G122" s="116"/>
      <c r="H122" s="117"/>
      <c r="I122" s="117"/>
      <c r="J122" s="117"/>
      <c r="K122" s="117"/>
      <c r="L122" s="117"/>
      <c r="M122" s="117"/>
      <c r="N122" s="117"/>
      <c r="O122" s="117"/>
    </row>
    <row r="123" spans="1:15" ht="18.75">
      <c r="A123" s="234" t="s">
        <v>165</v>
      </c>
      <c r="B123" s="116"/>
      <c r="C123" s="116"/>
      <c r="D123" s="116"/>
      <c r="E123" s="116"/>
      <c r="F123" s="116"/>
      <c r="G123" s="116"/>
      <c r="H123" s="117"/>
      <c r="I123" s="117"/>
      <c r="J123" s="117"/>
      <c r="K123" s="117"/>
      <c r="L123" s="117"/>
      <c r="M123" s="117"/>
      <c r="N123" s="117"/>
      <c r="O123" s="117"/>
    </row>
    <row r="124" spans="1:15" ht="18.75">
      <c r="A124" s="117" t="s">
        <v>166</v>
      </c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</row>
    <row r="125" spans="1:15" ht="21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21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21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21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21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21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21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21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21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21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21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21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21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</sheetData>
  <sheetProtection/>
  <mergeCells count="5">
    <mergeCell ref="A1:O1"/>
    <mergeCell ref="B2:G2"/>
    <mergeCell ref="H2:M2"/>
    <mergeCell ref="B3:F3"/>
    <mergeCell ref="H3:L3"/>
  </mergeCells>
  <printOptions horizontalCentered="1"/>
  <pageMargins left="0.5905511811023623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&amp;L&amp;10งานสารสนเทศและประเมินผล&amp;C&amp;10 ข้อมูล ณ วันที  13  พฤศจิกายน  2550&amp;R&amp;10FTES 2 - 50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99"/>
  <sheetViews>
    <sheetView zoomScale="120" zoomScaleNormal="120" zoomScalePageLayoutView="0" workbookViewId="0" topLeftCell="A1">
      <selection activeCell="H10" sqref="H10"/>
    </sheetView>
  </sheetViews>
  <sheetFormatPr defaultColWidth="9.140625" defaultRowHeight="21.75"/>
  <cols>
    <col min="1" max="1" width="29.57421875" style="1" customWidth="1"/>
    <col min="2" max="2" width="8.140625" style="1" bestFit="1" customWidth="1"/>
    <col min="3" max="4" width="7.7109375" style="1" customWidth="1"/>
    <col min="5" max="5" width="6.8515625" style="1" customWidth="1"/>
    <col min="6" max="6" width="7.7109375" style="1" customWidth="1"/>
    <col min="7" max="8" width="8.140625" style="1" bestFit="1" customWidth="1"/>
    <col min="9" max="10" width="7.7109375" style="1" customWidth="1"/>
    <col min="11" max="11" width="7.28125" style="1" customWidth="1"/>
    <col min="12" max="13" width="8.140625" style="1" bestFit="1" customWidth="1"/>
    <col min="14" max="14" width="9.00390625" style="1" bestFit="1" customWidth="1"/>
    <col min="15" max="15" width="8.140625" style="1" bestFit="1" customWidth="1"/>
    <col min="16" max="16384" width="9.140625" style="1" customWidth="1"/>
  </cols>
  <sheetData>
    <row r="1" spans="1:15" ht="18.75">
      <c r="A1" s="567" t="s">
        <v>142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</row>
    <row r="2" spans="1:15" ht="18.75">
      <c r="A2" s="119"/>
      <c r="B2" s="568" t="s">
        <v>2</v>
      </c>
      <c r="C2" s="568"/>
      <c r="D2" s="568"/>
      <c r="E2" s="568"/>
      <c r="F2" s="568"/>
      <c r="G2" s="569"/>
      <c r="H2" s="568" t="s">
        <v>115</v>
      </c>
      <c r="I2" s="568"/>
      <c r="J2" s="568"/>
      <c r="K2" s="568"/>
      <c r="L2" s="568"/>
      <c r="M2" s="569"/>
      <c r="N2" s="120" t="s">
        <v>3</v>
      </c>
      <c r="O2" s="119"/>
    </row>
    <row r="3" spans="1:15" ht="18.75">
      <c r="A3" s="121" t="s">
        <v>4</v>
      </c>
      <c r="B3" s="570" t="s">
        <v>5</v>
      </c>
      <c r="C3" s="568"/>
      <c r="D3" s="568"/>
      <c r="E3" s="568"/>
      <c r="F3" s="569"/>
      <c r="G3" s="121" t="s">
        <v>3</v>
      </c>
      <c r="H3" s="570" t="s">
        <v>5</v>
      </c>
      <c r="I3" s="568"/>
      <c r="J3" s="568"/>
      <c r="K3" s="568"/>
      <c r="L3" s="569"/>
      <c r="M3" s="121" t="s">
        <v>3</v>
      </c>
      <c r="N3" s="121" t="s">
        <v>6</v>
      </c>
      <c r="O3" s="121" t="s">
        <v>7</v>
      </c>
    </row>
    <row r="4" spans="1:15" ht="18.75">
      <c r="A4" s="122"/>
      <c r="B4" s="123" t="s">
        <v>8</v>
      </c>
      <c r="C4" s="123" t="s">
        <v>9</v>
      </c>
      <c r="D4" s="123" t="s">
        <v>10</v>
      </c>
      <c r="E4" s="123" t="s">
        <v>11</v>
      </c>
      <c r="F4" s="123" t="s">
        <v>12</v>
      </c>
      <c r="G4" s="123" t="s">
        <v>13</v>
      </c>
      <c r="H4" s="123" t="s">
        <v>8</v>
      </c>
      <c r="I4" s="123" t="s">
        <v>9</v>
      </c>
      <c r="J4" s="123" t="s">
        <v>10</v>
      </c>
      <c r="K4" s="123" t="s">
        <v>11</v>
      </c>
      <c r="L4" s="123" t="s">
        <v>12</v>
      </c>
      <c r="M4" s="123" t="s">
        <v>13</v>
      </c>
      <c r="N4" s="123"/>
      <c r="O4" s="122"/>
    </row>
    <row r="5" spans="1:15" ht="18.75">
      <c r="A5" s="124" t="s">
        <v>14</v>
      </c>
      <c r="B5" s="125">
        <f aca="true" t="shared" si="0" ref="B5:O5">B6+B14+B49+B51+B70+B76+B82+B92</f>
        <v>702.59</v>
      </c>
      <c r="C5" s="125">
        <f t="shared" si="0"/>
        <v>89.25</v>
      </c>
      <c r="D5" s="125">
        <f t="shared" si="0"/>
        <v>568.4200000000001</v>
      </c>
      <c r="E5" s="125">
        <f t="shared" si="0"/>
        <v>9</v>
      </c>
      <c r="F5" s="125">
        <f t="shared" si="0"/>
        <v>1002.005</v>
      </c>
      <c r="G5" s="125">
        <f t="shared" si="0"/>
        <v>1704.5950000000003</v>
      </c>
      <c r="H5" s="125">
        <f t="shared" si="0"/>
        <v>639.8000000000001</v>
      </c>
      <c r="I5" s="125">
        <f t="shared" si="0"/>
        <v>0</v>
      </c>
      <c r="J5" s="125">
        <f t="shared" si="0"/>
        <v>0</v>
      </c>
      <c r="K5" s="125">
        <f t="shared" si="0"/>
        <v>0</v>
      </c>
      <c r="L5" s="125">
        <f t="shared" si="0"/>
        <v>0</v>
      </c>
      <c r="M5" s="125">
        <f t="shared" si="0"/>
        <v>370.63</v>
      </c>
      <c r="N5" s="125">
        <f t="shared" si="0"/>
        <v>3371.79</v>
      </c>
      <c r="O5" s="125">
        <f t="shared" si="0"/>
        <v>1685.895</v>
      </c>
    </row>
    <row r="6" spans="1:15" ht="18.75">
      <c r="A6" s="126" t="s">
        <v>15</v>
      </c>
      <c r="B6" s="127">
        <f aca="true" t="shared" si="1" ref="B6:O6">SUM(B7:B9)</f>
        <v>261.46000000000004</v>
      </c>
      <c r="C6" s="127">
        <f t="shared" si="1"/>
        <v>0</v>
      </c>
      <c r="D6" s="127">
        <f t="shared" si="1"/>
        <v>40.75</v>
      </c>
      <c r="E6" s="127">
        <f t="shared" si="1"/>
        <v>0</v>
      </c>
      <c r="F6" s="127">
        <f t="shared" si="1"/>
        <v>61.125</v>
      </c>
      <c r="G6" s="127">
        <f t="shared" si="1"/>
        <v>322.58500000000004</v>
      </c>
      <c r="H6" s="127">
        <f aca="true" t="shared" si="2" ref="H6:M6">SUM(H7:H9)</f>
        <v>415.47</v>
      </c>
      <c r="I6" s="127">
        <f t="shared" si="2"/>
        <v>0</v>
      </c>
      <c r="J6" s="127">
        <f t="shared" si="2"/>
        <v>0</v>
      </c>
      <c r="K6" s="127">
        <f t="shared" si="2"/>
        <v>0</v>
      </c>
      <c r="L6" s="127">
        <f t="shared" si="2"/>
        <v>0</v>
      </c>
      <c r="M6" s="127">
        <f t="shared" si="2"/>
        <v>146.3</v>
      </c>
      <c r="N6" s="127">
        <f t="shared" si="1"/>
        <v>1765.4499999999998</v>
      </c>
      <c r="O6" s="127">
        <f t="shared" si="1"/>
        <v>882.7249999999999</v>
      </c>
    </row>
    <row r="7" spans="1:15" ht="18.75">
      <c r="A7" s="128" t="s">
        <v>127</v>
      </c>
      <c r="B7" s="129">
        <v>0</v>
      </c>
      <c r="C7" s="129">
        <v>0</v>
      </c>
      <c r="D7" s="129">
        <v>0</v>
      </c>
      <c r="E7" s="129">
        <v>0</v>
      </c>
      <c r="F7" s="130">
        <f>SUM(C7:E7)*1.5</f>
        <v>0</v>
      </c>
      <c r="G7" s="130">
        <f>B7+F7</f>
        <v>0</v>
      </c>
      <c r="H7" s="129">
        <f>3.15</f>
        <v>3.15</v>
      </c>
      <c r="I7" s="129"/>
      <c r="J7" s="129"/>
      <c r="K7" s="129"/>
      <c r="L7" s="130">
        <f>SUM(I7:K7)*1.5</f>
        <v>0</v>
      </c>
      <c r="M7" s="130">
        <f>H7+L7</f>
        <v>3.15</v>
      </c>
      <c r="N7" s="131">
        <f>G7+M7</f>
        <v>3.15</v>
      </c>
      <c r="O7" s="131">
        <f>N7/2</f>
        <v>1.575</v>
      </c>
    </row>
    <row r="8" spans="1:15" ht="18.75">
      <c r="A8" s="132" t="s">
        <v>128</v>
      </c>
      <c r="B8" s="131">
        <v>114.12</v>
      </c>
      <c r="C8" s="131">
        <v>0</v>
      </c>
      <c r="D8" s="131">
        <v>0</v>
      </c>
      <c r="E8" s="131">
        <v>0</v>
      </c>
      <c r="F8" s="130">
        <f>SUM(C8:E8)*1.5</f>
        <v>0</v>
      </c>
      <c r="G8" s="130">
        <f>B8+F8</f>
        <v>114.12</v>
      </c>
      <c r="H8" s="131">
        <f>3.15+140</f>
        <v>143.15</v>
      </c>
      <c r="I8" s="131"/>
      <c r="J8" s="131"/>
      <c r="K8" s="131"/>
      <c r="L8" s="130">
        <f>SUM(I8:K8)*1.5</f>
        <v>0</v>
      </c>
      <c r="M8" s="130">
        <f>H8+L8</f>
        <v>143.15</v>
      </c>
      <c r="N8" s="131">
        <f>G8+M8</f>
        <v>257.27</v>
      </c>
      <c r="O8" s="131">
        <f>N8/2</f>
        <v>128.635</v>
      </c>
    </row>
    <row r="9" spans="1:15" ht="18.75">
      <c r="A9" s="132" t="s">
        <v>129</v>
      </c>
      <c r="B9" s="131">
        <f aca="true" t="shared" si="3" ref="B9:G9">SUM(B10:B12)</f>
        <v>147.34</v>
      </c>
      <c r="C9" s="131">
        <f t="shared" si="3"/>
        <v>0</v>
      </c>
      <c r="D9" s="131">
        <f t="shared" si="3"/>
        <v>40.75</v>
      </c>
      <c r="E9" s="131">
        <f t="shared" si="3"/>
        <v>0</v>
      </c>
      <c r="F9" s="131">
        <f t="shared" si="3"/>
        <v>61.125</v>
      </c>
      <c r="G9" s="131">
        <f t="shared" si="3"/>
        <v>208.465</v>
      </c>
      <c r="H9" s="131">
        <v>269.17</v>
      </c>
      <c r="I9" s="131"/>
      <c r="J9" s="131"/>
      <c r="K9" s="131"/>
      <c r="L9" s="131">
        <f>SUM(L10:L12)</f>
        <v>0</v>
      </c>
      <c r="M9" s="131">
        <f>SUM(M10:M12)</f>
        <v>0</v>
      </c>
      <c r="N9" s="131">
        <f>SUM(N10:N12)</f>
        <v>1505.03</v>
      </c>
      <c r="O9" s="131">
        <f>SUM(O10:O12)</f>
        <v>752.515</v>
      </c>
    </row>
    <row r="10" spans="1:15" ht="18.75">
      <c r="A10" s="133" t="s">
        <v>130</v>
      </c>
      <c r="B10" s="134">
        <v>147.34</v>
      </c>
      <c r="C10" s="134">
        <v>0</v>
      </c>
      <c r="D10" s="134">
        <v>0</v>
      </c>
      <c r="E10" s="134">
        <v>0</v>
      </c>
      <c r="F10" s="135">
        <f>SUM(C10:E10)*1.5</f>
        <v>0</v>
      </c>
      <c r="G10" s="135">
        <f>B10+F10</f>
        <v>147.34</v>
      </c>
      <c r="H10" s="134"/>
      <c r="I10" s="134"/>
      <c r="J10" s="134"/>
      <c r="K10" s="134"/>
      <c r="L10" s="135">
        <f>SUM(I10:K10)*1.5</f>
        <v>0</v>
      </c>
      <c r="M10" s="135">
        <f>H10+L10</f>
        <v>0</v>
      </c>
      <c r="N10" s="134">
        <f>G10+M10</f>
        <v>147.34</v>
      </c>
      <c r="O10" s="134">
        <f>N10/2</f>
        <v>73.67</v>
      </c>
    </row>
    <row r="11" spans="1:15" ht="18.75">
      <c r="A11" s="136" t="s">
        <v>131</v>
      </c>
      <c r="B11" s="137"/>
      <c r="C11" s="137">
        <v>0</v>
      </c>
      <c r="D11" s="137">
        <v>0</v>
      </c>
      <c r="E11" s="137">
        <v>0</v>
      </c>
      <c r="F11" s="135">
        <f>SUM(C11:E11)*1.5</f>
        <v>0</v>
      </c>
      <c r="G11" s="135">
        <f>B11+F11</f>
        <v>0</v>
      </c>
      <c r="H11" s="137"/>
      <c r="I11" s="137"/>
      <c r="J11" s="137"/>
      <c r="K11" s="137"/>
      <c r="L11" s="135">
        <f>SUM(I11:K11)*1.5</f>
        <v>0</v>
      </c>
      <c r="M11" s="135">
        <f>H11+L11</f>
        <v>0</v>
      </c>
      <c r="N11" s="137">
        <f>SUM(N14:N15)</f>
        <v>1296.565</v>
      </c>
      <c r="O11" s="137">
        <f>SUM(O14:O15)</f>
        <v>648.2825</v>
      </c>
    </row>
    <row r="12" spans="1:15" ht="18.75">
      <c r="A12" s="133" t="s">
        <v>132</v>
      </c>
      <c r="B12" s="134">
        <v>0</v>
      </c>
      <c r="C12" s="134">
        <v>0</v>
      </c>
      <c r="D12" s="134">
        <v>40.75</v>
      </c>
      <c r="E12" s="134">
        <v>0</v>
      </c>
      <c r="F12" s="135">
        <f>SUM(C12:E12)*1.5</f>
        <v>61.125</v>
      </c>
      <c r="G12" s="135">
        <f>B12+F12</f>
        <v>61.125</v>
      </c>
      <c r="H12" s="134"/>
      <c r="I12" s="134"/>
      <c r="J12" s="134"/>
      <c r="K12" s="134"/>
      <c r="L12" s="135">
        <f>SUM(I12:K12)*1.5</f>
        <v>0</v>
      </c>
      <c r="M12" s="135">
        <f>H12+L12</f>
        <v>0</v>
      </c>
      <c r="N12" s="134">
        <f>G12+M12</f>
        <v>61.125</v>
      </c>
      <c r="O12" s="134">
        <f>N12/2</f>
        <v>30.5625</v>
      </c>
    </row>
    <row r="13" spans="1:15" ht="18.75">
      <c r="A13" s="138" t="s">
        <v>23</v>
      </c>
      <c r="B13" s="139">
        <v>0</v>
      </c>
      <c r="C13" s="139">
        <v>0</v>
      </c>
      <c r="D13" s="139">
        <v>9.5</v>
      </c>
      <c r="E13" s="139">
        <v>0</v>
      </c>
      <c r="F13" s="140">
        <f>SUM(C13:E13)*1.5</f>
        <v>14.25</v>
      </c>
      <c r="G13" s="140">
        <f>B13+F13</f>
        <v>14.25</v>
      </c>
      <c r="H13" s="139"/>
      <c r="I13" s="139"/>
      <c r="J13" s="139"/>
      <c r="K13" s="139"/>
      <c r="L13" s="140">
        <f>SUM(I13:K13)*1.5</f>
        <v>0</v>
      </c>
      <c r="M13" s="140">
        <f>H13+L13</f>
        <v>0</v>
      </c>
      <c r="N13" s="139">
        <f>G13+M13</f>
        <v>14.25</v>
      </c>
      <c r="O13" s="139">
        <f>N13/2</f>
        <v>7.125</v>
      </c>
    </row>
    <row r="14" spans="1:15" ht="18.75">
      <c r="A14" s="141" t="s">
        <v>25</v>
      </c>
      <c r="B14" s="142">
        <f aca="true" t="shared" si="4" ref="B14:O14">B15+B20+B28+B35+B38+B41</f>
        <v>10.06</v>
      </c>
      <c r="C14" s="142">
        <f t="shared" si="4"/>
        <v>89.25</v>
      </c>
      <c r="D14" s="142">
        <f t="shared" si="4"/>
        <v>467.42</v>
      </c>
      <c r="E14" s="142">
        <f t="shared" si="4"/>
        <v>9</v>
      </c>
      <c r="F14" s="142">
        <f t="shared" si="4"/>
        <v>848.505</v>
      </c>
      <c r="G14" s="142">
        <f t="shared" si="4"/>
        <v>858.5649999999999</v>
      </c>
      <c r="H14" s="142">
        <f aca="true" t="shared" si="5" ref="H14:M14">H15+H20+H28+H35+H38+H41</f>
        <v>0</v>
      </c>
      <c r="I14" s="142">
        <f t="shared" si="5"/>
        <v>0</v>
      </c>
      <c r="J14" s="142">
        <f t="shared" si="5"/>
        <v>0</v>
      </c>
      <c r="K14" s="142">
        <f t="shared" si="5"/>
        <v>0</v>
      </c>
      <c r="L14" s="142">
        <f t="shared" si="5"/>
        <v>0</v>
      </c>
      <c r="M14" s="142">
        <f t="shared" si="5"/>
        <v>0</v>
      </c>
      <c r="N14" s="142">
        <f t="shared" si="4"/>
        <v>858.5649999999999</v>
      </c>
      <c r="O14" s="142">
        <f t="shared" si="4"/>
        <v>429.28249999999997</v>
      </c>
    </row>
    <row r="15" spans="1:15" ht="18.75">
      <c r="A15" s="132" t="s">
        <v>45</v>
      </c>
      <c r="B15" s="143">
        <f aca="true" t="shared" si="6" ref="B15:G15">SUM(B16:B18)</f>
        <v>0</v>
      </c>
      <c r="C15" s="143">
        <f t="shared" si="6"/>
        <v>15.75</v>
      </c>
      <c r="D15" s="143">
        <f t="shared" si="6"/>
        <v>267.25</v>
      </c>
      <c r="E15" s="143">
        <f t="shared" si="6"/>
        <v>9</v>
      </c>
      <c r="F15" s="143">
        <f t="shared" si="6"/>
        <v>438</v>
      </c>
      <c r="G15" s="143">
        <f t="shared" si="6"/>
        <v>438</v>
      </c>
      <c r="H15" s="143"/>
      <c r="I15" s="143"/>
      <c r="J15" s="143"/>
      <c r="K15" s="143"/>
      <c r="L15" s="143">
        <f>SUM(L16:L18)</f>
        <v>0</v>
      </c>
      <c r="M15" s="143">
        <f>SUM(M16:M18)</f>
        <v>0</v>
      </c>
      <c r="N15" s="143">
        <f>SUM(N16:N18)</f>
        <v>438</v>
      </c>
      <c r="O15" s="143">
        <f>SUM(O16:O18)</f>
        <v>219</v>
      </c>
    </row>
    <row r="16" spans="1:15" ht="18.75">
      <c r="A16" s="133" t="s">
        <v>46</v>
      </c>
      <c r="B16" s="134">
        <v>0</v>
      </c>
      <c r="C16" s="134">
        <v>0</v>
      </c>
      <c r="D16" s="134">
        <v>267.25</v>
      </c>
      <c r="E16" s="134">
        <v>0</v>
      </c>
      <c r="F16" s="135">
        <f>SUM(C16:E16)*1.5</f>
        <v>400.875</v>
      </c>
      <c r="G16" s="135">
        <f>B16+F16</f>
        <v>400.875</v>
      </c>
      <c r="H16" s="134"/>
      <c r="I16" s="134"/>
      <c r="J16" s="134"/>
      <c r="K16" s="134"/>
      <c r="L16" s="135">
        <f>SUM(I16:K16)*1.5</f>
        <v>0</v>
      </c>
      <c r="M16" s="135">
        <f>H16+L16</f>
        <v>0</v>
      </c>
      <c r="N16" s="144">
        <f>G16+M16</f>
        <v>400.875</v>
      </c>
      <c r="O16" s="134">
        <f>N16/2</f>
        <v>200.4375</v>
      </c>
    </row>
    <row r="17" spans="1:15" ht="18.75">
      <c r="A17" s="145" t="s">
        <v>29</v>
      </c>
      <c r="B17" s="146">
        <v>0</v>
      </c>
      <c r="C17" s="146">
        <v>15.75</v>
      </c>
      <c r="D17" s="146">
        <v>0</v>
      </c>
      <c r="E17" s="146">
        <v>0</v>
      </c>
      <c r="F17" s="147">
        <f>SUM(C17:E17)*1.5</f>
        <v>23.625</v>
      </c>
      <c r="G17" s="147">
        <f>B17+F17</f>
        <v>23.625</v>
      </c>
      <c r="H17" s="146"/>
      <c r="I17" s="146"/>
      <c r="J17" s="146"/>
      <c r="K17" s="146"/>
      <c r="L17" s="147">
        <f>SUM(I17:K17)*1.5</f>
        <v>0</v>
      </c>
      <c r="M17" s="147">
        <f>H17+L17</f>
        <v>0</v>
      </c>
      <c r="N17" s="148">
        <f>G17+M17</f>
        <v>23.625</v>
      </c>
      <c r="O17" s="146">
        <f>N17/2</f>
        <v>11.8125</v>
      </c>
    </row>
    <row r="18" spans="1:15" ht="18.75">
      <c r="A18" s="149" t="s">
        <v>133</v>
      </c>
      <c r="B18" s="134">
        <v>0</v>
      </c>
      <c r="C18" s="134">
        <v>0</v>
      </c>
      <c r="D18" s="134">
        <v>0</v>
      </c>
      <c r="E18" s="134">
        <v>9</v>
      </c>
      <c r="F18" s="135">
        <f>SUM(C18:E18)*1.5</f>
        <v>13.5</v>
      </c>
      <c r="G18" s="135">
        <f>B18+F18</f>
        <v>13.5</v>
      </c>
      <c r="H18" s="134"/>
      <c r="I18" s="134"/>
      <c r="J18" s="134"/>
      <c r="K18" s="134"/>
      <c r="L18" s="135">
        <f>SUM(I18:K18)*1.5</f>
        <v>0</v>
      </c>
      <c r="M18" s="135">
        <f>H18+L18</f>
        <v>0</v>
      </c>
      <c r="N18" s="144">
        <f>G18+M18</f>
        <v>13.5</v>
      </c>
      <c r="O18" s="134">
        <f>N18/2</f>
        <v>6.75</v>
      </c>
    </row>
    <row r="19" spans="1:15" ht="18.75">
      <c r="A19" s="150" t="s">
        <v>134</v>
      </c>
      <c r="B19" s="139">
        <v>0</v>
      </c>
      <c r="C19" s="139">
        <v>0</v>
      </c>
      <c r="D19" s="139">
        <v>0</v>
      </c>
      <c r="E19" s="139">
        <v>1</v>
      </c>
      <c r="F19" s="140">
        <f>SUM(C19:E19)*1.5</f>
        <v>1.5</v>
      </c>
      <c r="G19" s="140">
        <f>B19+F19</f>
        <v>1.5</v>
      </c>
      <c r="H19" s="139"/>
      <c r="I19" s="139"/>
      <c r="J19" s="139"/>
      <c r="K19" s="139"/>
      <c r="L19" s="140">
        <f>SUM(I19:K19)*1.5</f>
        <v>0</v>
      </c>
      <c r="M19" s="140">
        <f>H19+L19</f>
        <v>0</v>
      </c>
      <c r="N19" s="139">
        <f>G19+M19</f>
        <v>1.5</v>
      </c>
      <c r="O19" s="139">
        <f>N19/2</f>
        <v>0.75</v>
      </c>
    </row>
    <row r="20" spans="1:15" ht="18.75">
      <c r="A20" s="132" t="s">
        <v>27</v>
      </c>
      <c r="B20" s="151">
        <f aca="true" t="shared" si="7" ref="B20:G20">B21+B23</f>
        <v>0</v>
      </c>
      <c r="C20" s="151">
        <f t="shared" si="7"/>
        <v>26.25</v>
      </c>
      <c r="D20" s="151">
        <f t="shared" si="7"/>
        <v>19.25</v>
      </c>
      <c r="E20" s="151">
        <f t="shared" si="7"/>
        <v>0</v>
      </c>
      <c r="F20" s="151">
        <f t="shared" si="7"/>
        <v>68.25</v>
      </c>
      <c r="G20" s="151">
        <f t="shared" si="7"/>
        <v>68.25</v>
      </c>
      <c r="H20" s="151"/>
      <c r="I20" s="151"/>
      <c r="J20" s="151"/>
      <c r="K20" s="151"/>
      <c r="L20" s="151">
        <f>L21+L23</f>
        <v>0</v>
      </c>
      <c r="M20" s="151">
        <f>M21+M23</f>
        <v>0</v>
      </c>
      <c r="N20" s="151">
        <f>N21+N23</f>
        <v>68.25</v>
      </c>
      <c r="O20" s="151">
        <f>O21+O23</f>
        <v>34.125</v>
      </c>
    </row>
    <row r="21" spans="1:15" ht="18.75">
      <c r="A21" s="149" t="s">
        <v>28</v>
      </c>
      <c r="B21" s="137">
        <v>0</v>
      </c>
      <c r="C21" s="137">
        <v>0</v>
      </c>
      <c r="D21" s="137">
        <v>13</v>
      </c>
      <c r="E21" s="137">
        <v>0</v>
      </c>
      <c r="F21" s="152">
        <f>SUM(C21:E21)*1.5</f>
        <v>19.5</v>
      </c>
      <c r="G21" s="152">
        <f>B21+F21</f>
        <v>19.5</v>
      </c>
      <c r="H21" s="137"/>
      <c r="I21" s="137"/>
      <c r="J21" s="137"/>
      <c r="K21" s="137"/>
      <c r="L21" s="152">
        <f>SUM(I21:K21)*1.5</f>
        <v>0</v>
      </c>
      <c r="M21" s="152">
        <f>H21+L21</f>
        <v>0</v>
      </c>
      <c r="N21" s="137">
        <f>G21+M21</f>
        <v>19.5</v>
      </c>
      <c r="O21" s="137">
        <f>N21/2</f>
        <v>9.75</v>
      </c>
    </row>
    <row r="22" spans="1:15" ht="18.75">
      <c r="A22" s="138" t="s">
        <v>23</v>
      </c>
      <c r="B22" s="139">
        <v>0</v>
      </c>
      <c r="C22" s="139">
        <v>0</v>
      </c>
      <c r="D22" s="139">
        <v>21</v>
      </c>
      <c r="E22" s="139">
        <v>0</v>
      </c>
      <c r="F22" s="140">
        <f>SUM(C22:E22)*1.5</f>
        <v>31.5</v>
      </c>
      <c r="G22" s="140">
        <f>B22+F22</f>
        <v>31.5</v>
      </c>
      <c r="H22" s="139"/>
      <c r="I22" s="139"/>
      <c r="J22" s="139"/>
      <c r="K22" s="139"/>
      <c r="L22" s="140">
        <f>SUM(I22:K22)*1.5</f>
        <v>0</v>
      </c>
      <c r="M22" s="140">
        <f>H22+L22</f>
        <v>0</v>
      </c>
      <c r="N22" s="139">
        <f>G22+M22</f>
        <v>31.5</v>
      </c>
      <c r="O22" s="139">
        <f>N22/2</f>
        <v>15.75</v>
      </c>
    </row>
    <row r="23" spans="1:15" ht="18.75">
      <c r="A23" s="153" t="s">
        <v>135</v>
      </c>
      <c r="B23" s="154">
        <v>0</v>
      </c>
      <c r="C23" s="154">
        <v>26.25</v>
      </c>
      <c r="D23" s="154">
        <v>6.25</v>
      </c>
      <c r="E23" s="154">
        <v>0</v>
      </c>
      <c r="F23" s="155">
        <f>SUM(C23:E23)*1.5</f>
        <v>48.75</v>
      </c>
      <c r="G23" s="156">
        <f>B23+F23</f>
        <v>48.75</v>
      </c>
      <c r="H23" s="154"/>
      <c r="I23" s="154"/>
      <c r="J23" s="154"/>
      <c r="K23" s="154"/>
      <c r="L23" s="155">
        <f>SUM(I23:K23)*1.5</f>
        <v>0</v>
      </c>
      <c r="M23" s="156">
        <f>H23+L23</f>
        <v>0</v>
      </c>
      <c r="N23" s="154">
        <f>G23+M23</f>
        <v>48.75</v>
      </c>
      <c r="O23" s="154">
        <f>N23/2</f>
        <v>24.375</v>
      </c>
    </row>
    <row r="24" spans="1:15" ht="18.75">
      <c r="A24" s="567" t="s">
        <v>126</v>
      </c>
      <c r="B24" s="567"/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</row>
    <row r="25" spans="1:15" ht="18.75">
      <c r="A25" s="119"/>
      <c r="B25" s="568" t="s">
        <v>2</v>
      </c>
      <c r="C25" s="568"/>
      <c r="D25" s="568"/>
      <c r="E25" s="568"/>
      <c r="F25" s="568"/>
      <c r="G25" s="569"/>
      <c r="H25" s="568" t="s">
        <v>115</v>
      </c>
      <c r="I25" s="568"/>
      <c r="J25" s="568"/>
      <c r="K25" s="568"/>
      <c r="L25" s="568"/>
      <c r="M25" s="569"/>
      <c r="N25" s="120" t="s">
        <v>3</v>
      </c>
      <c r="O25" s="119"/>
    </row>
    <row r="26" spans="1:15" ht="18.75">
      <c r="A26" s="121" t="s">
        <v>4</v>
      </c>
      <c r="B26" s="570" t="s">
        <v>5</v>
      </c>
      <c r="C26" s="568"/>
      <c r="D26" s="568"/>
      <c r="E26" s="568"/>
      <c r="F26" s="569"/>
      <c r="G26" s="121" t="s">
        <v>3</v>
      </c>
      <c r="H26" s="570" t="s">
        <v>5</v>
      </c>
      <c r="I26" s="568"/>
      <c r="J26" s="568"/>
      <c r="K26" s="568"/>
      <c r="L26" s="569"/>
      <c r="M26" s="121" t="s">
        <v>3</v>
      </c>
      <c r="N26" s="121" t="s">
        <v>6</v>
      </c>
      <c r="O26" s="121" t="s">
        <v>7</v>
      </c>
    </row>
    <row r="27" spans="1:15" ht="18.75">
      <c r="A27" s="122"/>
      <c r="B27" s="123" t="s">
        <v>8</v>
      </c>
      <c r="C27" s="123" t="s">
        <v>9</v>
      </c>
      <c r="D27" s="123" t="s">
        <v>10</v>
      </c>
      <c r="E27" s="123" t="s">
        <v>11</v>
      </c>
      <c r="F27" s="123" t="s">
        <v>12</v>
      </c>
      <c r="G27" s="123" t="s">
        <v>13</v>
      </c>
      <c r="H27" s="123" t="s">
        <v>8</v>
      </c>
      <c r="I27" s="123" t="s">
        <v>9</v>
      </c>
      <c r="J27" s="123" t="s">
        <v>10</v>
      </c>
      <c r="K27" s="123" t="s">
        <v>11</v>
      </c>
      <c r="L27" s="123" t="s">
        <v>12</v>
      </c>
      <c r="M27" s="123" t="s">
        <v>13</v>
      </c>
      <c r="N27" s="123"/>
      <c r="O27" s="122"/>
    </row>
    <row r="28" spans="1:15" ht="18.75">
      <c r="A28" s="128" t="s">
        <v>41</v>
      </c>
      <c r="B28" s="157">
        <f>B29+B30+B32+B33</f>
        <v>0</v>
      </c>
      <c r="C28" s="157">
        <f>C29+C30+C32+C33</f>
        <v>15.75</v>
      </c>
      <c r="D28" s="157">
        <f>D29+D30+D32+D33</f>
        <v>133</v>
      </c>
      <c r="E28" s="157">
        <f>E29+E30+E32+E33</f>
        <v>0</v>
      </c>
      <c r="F28" s="157">
        <f aca="true" t="shared" si="8" ref="F28:O28">F29+F30+F32+F33</f>
        <v>223.125</v>
      </c>
      <c r="G28" s="157">
        <f t="shared" si="8"/>
        <v>223.125</v>
      </c>
      <c r="H28" s="157"/>
      <c r="I28" s="157"/>
      <c r="J28" s="157"/>
      <c r="K28" s="157"/>
      <c r="L28" s="157">
        <f t="shared" si="8"/>
        <v>0</v>
      </c>
      <c r="M28" s="157">
        <f t="shared" si="8"/>
        <v>0</v>
      </c>
      <c r="N28" s="157">
        <f t="shared" si="8"/>
        <v>223.125</v>
      </c>
      <c r="O28" s="157">
        <f t="shared" si="8"/>
        <v>111.5625</v>
      </c>
    </row>
    <row r="29" spans="1:15" ht="18.75">
      <c r="A29" s="133" t="s">
        <v>136</v>
      </c>
      <c r="B29" s="137">
        <v>0</v>
      </c>
      <c r="C29" s="137">
        <v>0</v>
      </c>
      <c r="D29" s="137">
        <v>0</v>
      </c>
      <c r="E29" s="137">
        <v>0</v>
      </c>
      <c r="F29" s="152">
        <f aca="true" t="shared" si="9" ref="F29:F34">SUM(C29:E29)*1.5</f>
        <v>0</v>
      </c>
      <c r="G29" s="158">
        <f aca="true" t="shared" si="10" ref="G29:G34">B29+F29</f>
        <v>0</v>
      </c>
      <c r="H29" s="137"/>
      <c r="I29" s="137"/>
      <c r="J29" s="137"/>
      <c r="K29" s="137"/>
      <c r="L29" s="152">
        <f aca="true" t="shared" si="11" ref="L29:L34">SUM(I29:K29)*1.5</f>
        <v>0</v>
      </c>
      <c r="M29" s="158">
        <f aca="true" t="shared" si="12" ref="M29:M42">H29+L29</f>
        <v>0</v>
      </c>
      <c r="N29" s="159">
        <f aca="true" t="shared" si="13" ref="N29:N34">G29+M29</f>
        <v>0</v>
      </c>
      <c r="O29" s="137">
        <f aca="true" t="shared" si="14" ref="O29:O34">N29/2</f>
        <v>0</v>
      </c>
    </row>
    <row r="30" spans="1:15" ht="18.75">
      <c r="A30" s="160" t="s">
        <v>29</v>
      </c>
      <c r="B30" s="146">
        <v>0</v>
      </c>
      <c r="C30" s="146">
        <v>15.75</v>
      </c>
      <c r="D30" s="146">
        <v>0</v>
      </c>
      <c r="E30" s="146">
        <v>0</v>
      </c>
      <c r="F30" s="147">
        <f t="shared" si="9"/>
        <v>23.625</v>
      </c>
      <c r="G30" s="161">
        <f t="shared" si="10"/>
        <v>23.625</v>
      </c>
      <c r="H30" s="146"/>
      <c r="I30" s="146"/>
      <c r="J30" s="146"/>
      <c r="K30" s="146"/>
      <c r="L30" s="147">
        <f t="shared" si="11"/>
        <v>0</v>
      </c>
      <c r="M30" s="161">
        <f t="shared" si="12"/>
        <v>0</v>
      </c>
      <c r="N30" s="148">
        <f t="shared" si="13"/>
        <v>23.625</v>
      </c>
      <c r="O30" s="146">
        <f t="shared" si="14"/>
        <v>11.8125</v>
      </c>
    </row>
    <row r="31" spans="1:15" ht="18.75">
      <c r="A31" s="138" t="s">
        <v>23</v>
      </c>
      <c r="B31" s="139">
        <v>0</v>
      </c>
      <c r="C31" s="139">
        <v>0</v>
      </c>
      <c r="D31" s="139">
        <v>0</v>
      </c>
      <c r="E31" s="139">
        <v>0</v>
      </c>
      <c r="F31" s="140">
        <f t="shared" si="9"/>
        <v>0</v>
      </c>
      <c r="G31" s="162">
        <f t="shared" si="10"/>
        <v>0</v>
      </c>
      <c r="H31" s="139"/>
      <c r="I31" s="139"/>
      <c r="J31" s="139"/>
      <c r="K31" s="139"/>
      <c r="L31" s="140">
        <f t="shared" si="11"/>
        <v>0</v>
      </c>
      <c r="M31" s="162">
        <f>H31+L31</f>
        <v>0</v>
      </c>
      <c r="N31" s="163">
        <f t="shared" si="13"/>
        <v>0</v>
      </c>
      <c r="O31" s="139">
        <f t="shared" si="14"/>
        <v>0</v>
      </c>
    </row>
    <row r="32" spans="1:15" ht="18.75">
      <c r="A32" s="133" t="s">
        <v>43</v>
      </c>
      <c r="B32" s="137">
        <v>0</v>
      </c>
      <c r="C32" s="137">
        <v>0</v>
      </c>
      <c r="D32" s="137">
        <v>107.25</v>
      </c>
      <c r="E32" s="137">
        <v>0</v>
      </c>
      <c r="F32" s="152">
        <f t="shared" si="9"/>
        <v>160.875</v>
      </c>
      <c r="G32" s="158">
        <f t="shared" si="10"/>
        <v>160.875</v>
      </c>
      <c r="H32" s="137"/>
      <c r="I32" s="137"/>
      <c r="J32" s="137"/>
      <c r="K32" s="137"/>
      <c r="L32" s="152">
        <f t="shared" si="11"/>
        <v>0</v>
      </c>
      <c r="M32" s="158">
        <f t="shared" si="12"/>
        <v>0</v>
      </c>
      <c r="N32" s="159">
        <f t="shared" si="13"/>
        <v>160.875</v>
      </c>
      <c r="O32" s="137">
        <f t="shared" si="14"/>
        <v>80.4375</v>
      </c>
    </row>
    <row r="33" spans="1:15" ht="18.75">
      <c r="A33" s="133" t="s">
        <v>44</v>
      </c>
      <c r="B33" s="137">
        <v>0</v>
      </c>
      <c r="C33" s="137">
        <v>0</v>
      </c>
      <c r="D33" s="137">
        <v>25.75</v>
      </c>
      <c r="E33" s="137">
        <v>0</v>
      </c>
      <c r="F33" s="152">
        <f t="shared" si="9"/>
        <v>38.625</v>
      </c>
      <c r="G33" s="158">
        <f t="shared" si="10"/>
        <v>38.625</v>
      </c>
      <c r="H33" s="137"/>
      <c r="I33" s="137"/>
      <c r="J33" s="137"/>
      <c r="K33" s="137"/>
      <c r="L33" s="152">
        <f t="shared" si="11"/>
        <v>0</v>
      </c>
      <c r="M33" s="158">
        <f t="shared" si="12"/>
        <v>0</v>
      </c>
      <c r="N33" s="159">
        <f t="shared" si="13"/>
        <v>38.625</v>
      </c>
      <c r="O33" s="137">
        <f t="shared" si="14"/>
        <v>19.3125</v>
      </c>
    </row>
    <row r="34" spans="1:15" ht="18.75">
      <c r="A34" s="150" t="s">
        <v>23</v>
      </c>
      <c r="B34" s="139">
        <v>0</v>
      </c>
      <c r="C34" s="139">
        <v>0</v>
      </c>
      <c r="D34" s="139">
        <v>1</v>
      </c>
      <c r="E34" s="139">
        <v>0</v>
      </c>
      <c r="F34" s="140">
        <f t="shared" si="9"/>
        <v>1.5</v>
      </c>
      <c r="G34" s="162">
        <f t="shared" si="10"/>
        <v>1.5</v>
      </c>
      <c r="H34" s="139"/>
      <c r="I34" s="139"/>
      <c r="J34" s="139"/>
      <c r="K34" s="139"/>
      <c r="L34" s="140">
        <f t="shared" si="11"/>
        <v>0</v>
      </c>
      <c r="M34" s="162">
        <f t="shared" si="12"/>
        <v>0</v>
      </c>
      <c r="N34" s="163">
        <f t="shared" si="13"/>
        <v>1.5</v>
      </c>
      <c r="O34" s="139">
        <f t="shared" si="14"/>
        <v>0.75</v>
      </c>
    </row>
    <row r="35" spans="1:15" ht="18.75">
      <c r="A35" s="132" t="s">
        <v>35</v>
      </c>
      <c r="B35" s="151">
        <f>SUM(B36:B37)</f>
        <v>0</v>
      </c>
      <c r="C35" s="151">
        <f>SUM(C36:C37)</f>
        <v>15.75</v>
      </c>
      <c r="D35" s="151">
        <f>SUM(D36:D37)</f>
        <v>32.25</v>
      </c>
      <c r="E35" s="151">
        <f>SUM(E36:E37)</f>
        <v>0</v>
      </c>
      <c r="F35" s="151">
        <f aca="true" t="shared" si="15" ref="F35:O35">SUM(F36:F37)</f>
        <v>72</v>
      </c>
      <c r="G35" s="151">
        <f t="shared" si="15"/>
        <v>72</v>
      </c>
      <c r="H35" s="151"/>
      <c r="I35" s="151"/>
      <c r="J35" s="151"/>
      <c r="K35" s="151"/>
      <c r="L35" s="151">
        <f t="shared" si="15"/>
        <v>0</v>
      </c>
      <c r="M35" s="151">
        <f t="shared" si="15"/>
        <v>0</v>
      </c>
      <c r="N35" s="151">
        <f t="shared" si="15"/>
        <v>72</v>
      </c>
      <c r="O35" s="151">
        <f t="shared" si="15"/>
        <v>36</v>
      </c>
    </row>
    <row r="36" spans="1:15" ht="18.75">
      <c r="A36" s="133" t="s">
        <v>36</v>
      </c>
      <c r="B36" s="137">
        <v>0</v>
      </c>
      <c r="C36" s="137">
        <v>0</v>
      </c>
      <c r="D36" s="137">
        <v>32.25</v>
      </c>
      <c r="E36" s="137">
        <v>0</v>
      </c>
      <c r="F36" s="152">
        <f>SUM(C36:E36)*1.5</f>
        <v>48.375</v>
      </c>
      <c r="G36" s="158">
        <f>B36+F36</f>
        <v>48.375</v>
      </c>
      <c r="H36" s="137"/>
      <c r="I36" s="137"/>
      <c r="J36" s="137"/>
      <c r="K36" s="137"/>
      <c r="L36" s="152">
        <f>SUM(I36:K36)*1.5</f>
        <v>0</v>
      </c>
      <c r="M36" s="158">
        <f t="shared" si="12"/>
        <v>0</v>
      </c>
      <c r="N36" s="137">
        <f>G36+M36</f>
        <v>48.375</v>
      </c>
      <c r="O36" s="137">
        <f>N36/2</f>
        <v>24.1875</v>
      </c>
    </row>
    <row r="37" spans="1:15" ht="18.75">
      <c r="A37" s="160" t="s">
        <v>29</v>
      </c>
      <c r="B37" s="146">
        <v>0</v>
      </c>
      <c r="C37" s="146">
        <v>15.75</v>
      </c>
      <c r="D37" s="146">
        <v>0</v>
      </c>
      <c r="E37" s="146">
        <v>0</v>
      </c>
      <c r="F37" s="147">
        <f>SUM(C37:E37)*1.5</f>
        <v>23.625</v>
      </c>
      <c r="G37" s="161">
        <f>B37+F37</f>
        <v>23.625</v>
      </c>
      <c r="H37" s="146"/>
      <c r="I37" s="146"/>
      <c r="J37" s="146"/>
      <c r="K37" s="146"/>
      <c r="L37" s="147">
        <f>SUM(I37:K37)*1.5</f>
        <v>0</v>
      </c>
      <c r="M37" s="161">
        <f t="shared" si="12"/>
        <v>0</v>
      </c>
      <c r="N37" s="146">
        <f>G37+M37</f>
        <v>23.625</v>
      </c>
      <c r="O37" s="146">
        <f>N37/2</f>
        <v>11.8125</v>
      </c>
    </row>
    <row r="38" spans="1:15" ht="18.75">
      <c r="A38" s="132" t="s">
        <v>32</v>
      </c>
      <c r="B38" s="151">
        <f aca="true" t="shared" si="16" ref="B38:O38">B39</f>
        <v>10.06</v>
      </c>
      <c r="C38" s="151">
        <f t="shared" si="16"/>
        <v>0</v>
      </c>
      <c r="D38" s="151">
        <f t="shared" si="16"/>
        <v>14</v>
      </c>
      <c r="E38" s="151">
        <f t="shared" si="16"/>
        <v>0</v>
      </c>
      <c r="F38" s="151">
        <f t="shared" si="16"/>
        <v>21</v>
      </c>
      <c r="G38" s="151">
        <f t="shared" si="16"/>
        <v>31.060000000000002</v>
      </c>
      <c r="H38" s="151"/>
      <c r="I38" s="151"/>
      <c r="J38" s="151"/>
      <c r="K38" s="151"/>
      <c r="L38" s="151">
        <f t="shared" si="16"/>
        <v>0</v>
      </c>
      <c r="M38" s="151">
        <f t="shared" si="16"/>
        <v>0</v>
      </c>
      <c r="N38" s="151">
        <f t="shared" si="16"/>
        <v>31.060000000000002</v>
      </c>
      <c r="O38" s="151">
        <f t="shared" si="16"/>
        <v>15.530000000000001</v>
      </c>
    </row>
    <row r="39" spans="1:15" ht="18.75">
      <c r="A39" s="149" t="s">
        <v>33</v>
      </c>
      <c r="B39" s="164">
        <v>10.06</v>
      </c>
      <c r="C39" s="164">
        <v>0</v>
      </c>
      <c r="D39" s="164">
        <v>14</v>
      </c>
      <c r="E39" s="164">
        <v>0</v>
      </c>
      <c r="F39" s="165">
        <f>SUM(C39:E39)*1.5</f>
        <v>21</v>
      </c>
      <c r="G39" s="166">
        <f>B39+F39</f>
        <v>31.060000000000002</v>
      </c>
      <c r="H39" s="164"/>
      <c r="I39" s="164"/>
      <c r="J39" s="164"/>
      <c r="K39" s="164"/>
      <c r="L39" s="165">
        <f>SUM(I39:K39)*1.5</f>
        <v>0</v>
      </c>
      <c r="M39" s="166">
        <f>H39+L39</f>
        <v>0</v>
      </c>
      <c r="N39" s="164">
        <f>G39+M39</f>
        <v>31.060000000000002</v>
      </c>
      <c r="O39" s="167">
        <f>N39/2</f>
        <v>15.530000000000001</v>
      </c>
    </row>
    <row r="40" spans="1:15" ht="18.75">
      <c r="A40" s="138" t="s">
        <v>23</v>
      </c>
      <c r="B40" s="168">
        <v>0</v>
      </c>
      <c r="C40" s="168">
        <v>0</v>
      </c>
      <c r="D40" s="168">
        <v>2.5</v>
      </c>
      <c r="E40" s="168">
        <v>0</v>
      </c>
      <c r="F40" s="169">
        <f>SUM(C40:E40)*1.5</f>
        <v>3.75</v>
      </c>
      <c r="G40" s="170">
        <f>B40+F40</f>
        <v>3.75</v>
      </c>
      <c r="H40" s="168"/>
      <c r="I40" s="168"/>
      <c r="J40" s="168"/>
      <c r="K40" s="168"/>
      <c r="L40" s="169">
        <f>SUM(I40:K40)*1.5</f>
        <v>0</v>
      </c>
      <c r="M40" s="170">
        <f>H40+L40</f>
        <v>0</v>
      </c>
      <c r="N40" s="168">
        <f>G40+M40</f>
        <v>3.75</v>
      </c>
      <c r="O40" s="168">
        <f>N40/2</f>
        <v>1.875</v>
      </c>
    </row>
    <row r="41" spans="1:15" ht="18.75">
      <c r="A41" s="132" t="s">
        <v>38</v>
      </c>
      <c r="B41" s="151">
        <f>SUM(B42:B43)</f>
        <v>0</v>
      </c>
      <c r="C41" s="151">
        <f>SUM(C42:C43)</f>
        <v>15.75</v>
      </c>
      <c r="D41" s="151">
        <f>SUM(D42:D43)</f>
        <v>1.67</v>
      </c>
      <c r="E41" s="151">
        <f>SUM(E42:E43)</f>
        <v>0</v>
      </c>
      <c r="F41" s="151">
        <f aca="true" t="shared" si="17" ref="F41:O41">SUM(F42:F43)</f>
        <v>26.130000000000003</v>
      </c>
      <c r="G41" s="151">
        <f t="shared" si="17"/>
        <v>26.130000000000003</v>
      </c>
      <c r="H41" s="151"/>
      <c r="I41" s="151"/>
      <c r="J41" s="151"/>
      <c r="K41" s="151"/>
      <c r="L41" s="151">
        <f t="shared" si="17"/>
        <v>0</v>
      </c>
      <c r="M41" s="151">
        <f t="shared" si="17"/>
        <v>0</v>
      </c>
      <c r="N41" s="151">
        <f t="shared" si="17"/>
        <v>26.130000000000003</v>
      </c>
      <c r="O41" s="151">
        <f t="shared" si="17"/>
        <v>13.065000000000001</v>
      </c>
    </row>
    <row r="42" spans="1:15" ht="18.75">
      <c r="A42" s="133" t="s">
        <v>39</v>
      </c>
      <c r="B42" s="159">
        <v>0</v>
      </c>
      <c r="C42" s="159">
        <v>0</v>
      </c>
      <c r="D42" s="159">
        <v>0</v>
      </c>
      <c r="E42" s="159">
        <v>0</v>
      </c>
      <c r="F42" s="152">
        <f>SUM(C42:E42)*1.5</f>
        <v>0</v>
      </c>
      <c r="G42" s="158">
        <f>B42+F42</f>
        <v>0</v>
      </c>
      <c r="H42" s="159"/>
      <c r="I42" s="159"/>
      <c r="J42" s="159"/>
      <c r="K42" s="159"/>
      <c r="L42" s="152">
        <f>SUM(I42:K42)*1.5</f>
        <v>0</v>
      </c>
      <c r="M42" s="158">
        <f t="shared" si="12"/>
        <v>0</v>
      </c>
      <c r="N42" s="144">
        <f>G42+M42</f>
        <v>0</v>
      </c>
      <c r="O42" s="134">
        <f>N42/2</f>
        <v>0</v>
      </c>
    </row>
    <row r="43" spans="1:15" ht="18.75">
      <c r="A43" s="153" t="s">
        <v>29</v>
      </c>
      <c r="B43" s="154">
        <v>0</v>
      </c>
      <c r="C43" s="154">
        <v>15.75</v>
      </c>
      <c r="D43" s="154">
        <v>1.67</v>
      </c>
      <c r="E43" s="154">
        <v>0</v>
      </c>
      <c r="F43" s="155">
        <f>SUM(C43:E43)*1.5</f>
        <v>26.130000000000003</v>
      </c>
      <c r="G43" s="156">
        <f>B43+F43</f>
        <v>26.130000000000003</v>
      </c>
      <c r="H43" s="154"/>
      <c r="I43" s="154"/>
      <c r="J43" s="154"/>
      <c r="K43" s="154"/>
      <c r="L43" s="155">
        <f>SUM(I43:K43)*1.5</f>
        <v>0</v>
      </c>
      <c r="M43" s="156">
        <f>H43+L43</f>
        <v>0</v>
      </c>
      <c r="N43" s="154">
        <f>G43+M43</f>
        <v>26.130000000000003</v>
      </c>
      <c r="O43" s="154">
        <f>N43/2</f>
        <v>13.065000000000001</v>
      </c>
    </row>
    <row r="44" spans="1:15" ht="18.75">
      <c r="A44" s="171"/>
      <c r="B44" s="172"/>
      <c r="C44" s="172"/>
      <c r="D44" s="172"/>
      <c r="E44" s="172"/>
      <c r="F44" s="173"/>
      <c r="G44" s="174"/>
      <c r="H44" s="172"/>
      <c r="I44" s="172"/>
      <c r="J44" s="172"/>
      <c r="K44" s="172"/>
      <c r="L44" s="173"/>
      <c r="M44" s="174"/>
      <c r="N44" s="172"/>
      <c r="O44" s="172"/>
    </row>
    <row r="45" spans="1:15" ht="18.75">
      <c r="A45" s="567" t="s">
        <v>126</v>
      </c>
      <c r="B45" s="567"/>
      <c r="C45" s="567"/>
      <c r="D45" s="567"/>
      <c r="E45" s="567"/>
      <c r="F45" s="567"/>
      <c r="G45" s="567"/>
      <c r="H45" s="567"/>
      <c r="I45" s="567"/>
      <c r="J45" s="567"/>
      <c r="K45" s="567"/>
      <c r="L45" s="567"/>
      <c r="M45" s="567"/>
      <c r="N45" s="567"/>
      <c r="O45" s="567"/>
    </row>
    <row r="46" spans="1:15" ht="18.75">
      <c r="A46" s="119"/>
      <c r="B46" s="568" t="s">
        <v>2</v>
      </c>
      <c r="C46" s="568"/>
      <c r="D46" s="568"/>
      <c r="E46" s="568"/>
      <c r="F46" s="568"/>
      <c r="G46" s="569"/>
      <c r="H46" s="568" t="s">
        <v>115</v>
      </c>
      <c r="I46" s="568"/>
      <c r="J46" s="568"/>
      <c r="K46" s="568"/>
      <c r="L46" s="568"/>
      <c r="M46" s="569"/>
      <c r="N46" s="120" t="s">
        <v>3</v>
      </c>
      <c r="O46" s="119"/>
    </row>
    <row r="47" spans="1:15" ht="18.75">
      <c r="A47" s="121" t="s">
        <v>4</v>
      </c>
      <c r="B47" s="570" t="s">
        <v>5</v>
      </c>
      <c r="C47" s="568"/>
      <c r="D47" s="568"/>
      <c r="E47" s="568"/>
      <c r="F47" s="569"/>
      <c r="G47" s="121" t="s">
        <v>3</v>
      </c>
      <c r="H47" s="570" t="s">
        <v>5</v>
      </c>
      <c r="I47" s="568"/>
      <c r="J47" s="568"/>
      <c r="K47" s="568"/>
      <c r="L47" s="569"/>
      <c r="M47" s="121" t="s">
        <v>3</v>
      </c>
      <c r="N47" s="121" t="s">
        <v>6</v>
      </c>
      <c r="O47" s="121" t="s">
        <v>7</v>
      </c>
    </row>
    <row r="48" spans="1:15" ht="18.75">
      <c r="A48" s="122"/>
      <c r="B48" s="123" t="s">
        <v>8</v>
      </c>
      <c r="C48" s="123" t="s">
        <v>9</v>
      </c>
      <c r="D48" s="123" t="s">
        <v>10</v>
      </c>
      <c r="E48" s="123" t="s">
        <v>11</v>
      </c>
      <c r="F48" s="123" t="s">
        <v>12</v>
      </c>
      <c r="G48" s="123" t="s">
        <v>13</v>
      </c>
      <c r="H48" s="123" t="s">
        <v>8</v>
      </c>
      <c r="I48" s="123" t="s">
        <v>9</v>
      </c>
      <c r="J48" s="123" t="s">
        <v>10</v>
      </c>
      <c r="K48" s="123" t="s">
        <v>11</v>
      </c>
      <c r="L48" s="123" t="s">
        <v>12</v>
      </c>
      <c r="M48" s="123" t="s">
        <v>13</v>
      </c>
      <c r="N48" s="123"/>
      <c r="O48" s="122"/>
    </row>
    <row r="49" spans="1:15" ht="18.75">
      <c r="A49" s="175" t="s">
        <v>47</v>
      </c>
      <c r="B49" s="176">
        <f aca="true" t="shared" si="18" ref="B49:O49">B50</f>
        <v>208.61</v>
      </c>
      <c r="C49" s="176">
        <f t="shared" si="18"/>
        <v>0</v>
      </c>
      <c r="D49" s="176">
        <f t="shared" si="18"/>
        <v>0</v>
      </c>
      <c r="E49" s="176">
        <f t="shared" si="18"/>
        <v>0</v>
      </c>
      <c r="F49" s="176">
        <f t="shared" si="18"/>
        <v>0</v>
      </c>
      <c r="G49" s="176">
        <f t="shared" si="18"/>
        <v>208.61</v>
      </c>
      <c r="H49" s="176">
        <f t="shared" si="18"/>
        <v>224.33</v>
      </c>
      <c r="I49" s="176">
        <f t="shared" si="18"/>
        <v>0</v>
      </c>
      <c r="J49" s="176">
        <f t="shared" si="18"/>
        <v>0</v>
      </c>
      <c r="K49" s="176">
        <f t="shared" si="18"/>
        <v>0</v>
      </c>
      <c r="L49" s="176">
        <f t="shared" si="18"/>
        <v>0</v>
      </c>
      <c r="M49" s="176">
        <f t="shared" si="18"/>
        <v>224.33</v>
      </c>
      <c r="N49" s="176">
        <f t="shared" si="18"/>
        <v>432.94000000000005</v>
      </c>
      <c r="O49" s="176">
        <f t="shared" si="18"/>
        <v>216.47000000000003</v>
      </c>
    </row>
    <row r="50" spans="1:15" ht="18.75">
      <c r="A50" s="177" t="s">
        <v>48</v>
      </c>
      <c r="B50" s="178">
        <v>208.61</v>
      </c>
      <c r="C50" s="178">
        <v>0</v>
      </c>
      <c r="D50" s="178">
        <v>0</v>
      </c>
      <c r="E50" s="178">
        <v>0</v>
      </c>
      <c r="F50" s="179">
        <f>SUM(C50:E50)*1.5</f>
        <v>0</v>
      </c>
      <c r="G50" s="180">
        <f>B50+F50</f>
        <v>208.61</v>
      </c>
      <c r="H50" s="178">
        <v>224.33</v>
      </c>
      <c r="I50" s="178"/>
      <c r="J50" s="178"/>
      <c r="K50" s="178"/>
      <c r="L50" s="179">
        <f>SUM(I50:K50)*1.5</f>
        <v>0</v>
      </c>
      <c r="M50" s="180">
        <f>H50+L50</f>
        <v>224.33</v>
      </c>
      <c r="N50" s="181">
        <f>G50+M50</f>
        <v>432.94000000000005</v>
      </c>
      <c r="O50" s="178">
        <f>N50/2</f>
        <v>216.47000000000003</v>
      </c>
    </row>
    <row r="51" spans="1:15" ht="18.75">
      <c r="A51" s="182" t="s">
        <v>55</v>
      </c>
      <c r="B51" s="183">
        <f aca="true" t="shared" si="19" ref="B51:O51">B52+B56+B62+B64</f>
        <v>136.78</v>
      </c>
      <c r="C51" s="183">
        <f t="shared" si="19"/>
        <v>0</v>
      </c>
      <c r="D51" s="183">
        <f t="shared" si="19"/>
        <v>34.5</v>
      </c>
      <c r="E51" s="183">
        <f t="shared" si="19"/>
        <v>0</v>
      </c>
      <c r="F51" s="183">
        <f t="shared" si="19"/>
        <v>51.75</v>
      </c>
      <c r="G51" s="183">
        <f t="shared" si="19"/>
        <v>188.52999999999997</v>
      </c>
      <c r="H51" s="183">
        <f t="shared" si="19"/>
        <v>0</v>
      </c>
      <c r="I51" s="183">
        <f t="shared" si="19"/>
        <v>0</v>
      </c>
      <c r="J51" s="183">
        <f t="shared" si="19"/>
        <v>0</v>
      </c>
      <c r="K51" s="183">
        <f t="shared" si="19"/>
        <v>0</v>
      </c>
      <c r="L51" s="183">
        <f t="shared" si="19"/>
        <v>0</v>
      </c>
      <c r="M51" s="183">
        <f t="shared" si="19"/>
        <v>0</v>
      </c>
      <c r="N51" s="183">
        <f t="shared" si="19"/>
        <v>188.52999999999997</v>
      </c>
      <c r="O51" s="183">
        <f t="shared" si="19"/>
        <v>94.26499999999999</v>
      </c>
    </row>
    <row r="52" spans="1:15" ht="18.75">
      <c r="A52" s="132" t="s">
        <v>59</v>
      </c>
      <c r="B52" s="143">
        <f>SUM(B53:B55)</f>
        <v>31.560000000000002</v>
      </c>
      <c r="C52" s="143">
        <f>SUM(C53:C55)</f>
        <v>0</v>
      </c>
      <c r="D52" s="143">
        <f>SUM(D53:D55)</f>
        <v>0</v>
      </c>
      <c r="E52" s="143">
        <f>SUM(E53:E55)</f>
        <v>0</v>
      </c>
      <c r="F52" s="143">
        <f aca="true" t="shared" si="20" ref="F52:O52">SUM(F53:F55)</f>
        <v>0</v>
      </c>
      <c r="G52" s="143">
        <f t="shared" si="20"/>
        <v>31.560000000000002</v>
      </c>
      <c r="H52" s="143"/>
      <c r="I52" s="143"/>
      <c r="J52" s="143"/>
      <c r="K52" s="143"/>
      <c r="L52" s="143">
        <f t="shared" si="20"/>
        <v>0</v>
      </c>
      <c r="M52" s="143">
        <f t="shared" si="20"/>
        <v>0</v>
      </c>
      <c r="N52" s="143">
        <f t="shared" si="20"/>
        <v>31.560000000000002</v>
      </c>
      <c r="O52" s="143">
        <f t="shared" si="20"/>
        <v>15.780000000000001</v>
      </c>
    </row>
    <row r="53" spans="1:15" ht="18.75">
      <c r="A53" s="133" t="s">
        <v>60</v>
      </c>
      <c r="B53" s="137">
        <v>5.67</v>
      </c>
      <c r="C53" s="137">
        <v>0</v>
      </c>
      <c r="D53" s="137">
        <v>0</v>
      </c>
      <c r="E53" s="137">
        <v>0</v>
      </c>
      <c r="F53" s="152">
        <f>SUM(C53:E53)*1.5</f>
        <v>0</v>
      </c>
      <c r="G53" s="184">
        <f>B53+F53</f>
        <v>5.67</v>
      </c>
      <c r="H53" s="137"/>
      <c r="I53" s="137"/>
      <c r="J53" s="137"/>
      <c r="K53" s="137"/>
      <c r="L53" s="152">
        <f>SUM(I53:K53)*1.5</f>
        <v>0</v>
      </c>
      <c r="M53" s="184">
        <f aca="true" t="shared" si="21" ref="M53:M60">H53+L53</f>
        <v>0</v>
      </c>
      <c r="N53" s="137">
        <f>G53+M53</f>
        <v>5.67</v>
      </c>
      <c r="O53" s="137">
        <f>N53/2</f>
        <v>2.835</v>
      </c>
    </row>
    <row r="54" spans="1:15" ht="18.75">
      <c r="A54" s="133" t="s">
        <v>61</v>
      </c>
      <c r="B54" s="137">
        <v>22.11</v>
      </c>
      <c r="C54" s="137">
        <v>0</v>
      </c>
      <c r="D54" s="137">
        <v>0</v>
      </c>
      <c r="E54" s="137">
        <v>0</v>
      </c>
      <c r="F54" s="152">
        <f>SUM(C54:E54)*1.5</f>
        <v>0</v>
      </c>
      <c r="G54" s="184">
        <f>B54+F54</f>
        <v>22.11</v>
      </c>
      <c r="H54" s="137"/>
      <c r="I54" s="137"/>
      <c r="J54" s="137"/>
      <c r="K54" s="137"/>
      <c r="L54" s="152">
        <f>SUM(I54:K54)*1.5</f>
        <v>0</v>
      </c>
      <c r="M54" s="184">
        <f t="shared" si="21"/>
        <v>0</v>
      </c>
      <c r="N54" s="137">
        <f>G54+M54</f>
        <v>22.11</v>
      </c>
      <c r="O54" s="137">
        <f>N54/2</f>
        <v>11.055</v>
      </c>
    </row>
    <row r="55" spans="1:15" ht="18.75">
      <c r="A55" s="133" t="s">
        <v>64</v>
      </c>
      <c r="B55" s="137">
        <v>3.78</v>
      </c>
      <c r="C55" s="137">
        <v>0</v>
      </c>
      <c r="D55" s="137">
        <v>0</v>
      </c>
      <c r="E55" s="137">
        <v>0</v>
      </c>
      <c r="F55" s="152">
        <f>SUM(C55:E55)*1.5</f>
        <v>0</v>
      </c>
      <c r="G55" s="184">
        <f>B55+F55</f>
        <v>3.78</v>
      </c>
      <c r="H55" s="137"/>
      <c r="I55" s="137"/>
      <c r="J55" s="137"/>
      <c r="K55" s="137"/>
      <c r="L55" s="152">
        <f>SUM(I55:K55)*1.5</f>
        <v>0</v>
      </c>
      <c r="M55" s="184">
        <f t="shared" si="21"/>
        <v>0</v>
      </c>
      <c r="N55" s="137">
        <f>G55+M55</f>
        <v>3.78</v>
      </c>
      <c r="O55" s="137">
        <f>N55/2</f>
        <v>1.89</v>
      </c>
    </row>
    <row r="56" spans="1:15" ht="18.75">
      <c r="A56" s="132" t="s">
        <v>69</v>
      </c>
      <c r="B56" s="131">
        <f>B57+B59+B61</f>
        <v>47.5</v>
      </c>
      <c r="C56" s="131">
        <f>C57+C59+C61</f>
        <v>0</v>
      </c>
      <c r="D56" s="131">
        <f>D57+D59+D61</f>
        <v>9.67</v>
      </c>
      <c r="E56" s="131">
        <f>E57+E59+E61</f>
        <v>0</v>
      </c>
      <c r="F56" s="131">
        <f aca="true" t="shared" si="22" ref="F56:O56">F57+F59+F61</f>
        <v>14.504999999999999</v>
      </c>
      <c r="G56" s="131">
        <f t="shared" si="22"/>
        <v>62.004999999999995</v>
      </c>
      <c r="H56" s="131"/>
      <c r="I56" s="131"/>
      <c r="J56" s="131"/>
      <c r="K56" s="131"/>
      <c r="L56" s="131">
        <f t="shared" si="22"/>
        <v>0</v>
      </c>
      <c r="M56" s="131">
        <f t="shared" si="22"/>
        <v>0</v>
      </c>
      <c r="N56" s="131">
        <f t="shared" si="22"/>
        <v>62.004999999999995</v>
      </c>
      <c r="O56" s="131">
        <f t="shared" si="22"/>
        <v>31.002499999999998</v>
      </c>
    </row>
    <row r="57" spans="1:15" ht="18.75">
      <c r="A57" s="133" t="s">
        <v>70</v>
      </c>
      <c r="B57" s="137">
        <v>47.5</v>
      </c>
      <c r="C57" s="137">
        <v>0</v>
      </c>
      <c r="D57" s="137">
        <v>9.34</v>
      </c>
      <c r="E57" s="137">
        <v>0</v>
      </c>
      <c r="F57" s="152">
        <f>SUM(C57:E57)*1.5</f>
        <v>14.01</v>
      </c>
      <c r="G57" s="184">
        <f>B57+F57</f>
        <v>61.51</v>
      </c>
      <c r="H57" s="137"/>
      <c r="I57" s="137"/>
      <c r="J57" s="137"/>
      <c r="K57" s="137"/>
      <c r="L57" s="152">
        <f>SUM(I57:K57)*1.5</f>
        <v>0</v>
      </c>
      <c r="M57" s="184">
        <f t="shared" si="21"/>
        <v>0</v>
      </c>
      <c r="N57" s="137">
        <f>G57+M57</f>
        <v>61.51</v>
      </c>
      <c r="O57" s="137">
        <f>N57/2</f>
        <v>30.755</v>
      </c>
    </row>
    <row r="58" spans="1:15" ht="18.75">
      <c r="A58" s="150" t="s">
        <v>23</v>
      </c>
      <c r="B58" s="139">
        <v>0</v>
      </c>
      <c r="C58" s="139">
        <v>0</v>
      </c>
      <c r="D58" s="139">
        <v>1.5</v>
      </c>
      <c r="E58" s="139">
        <v>0</v>
      </c>
      <c r="F58" s="140">
        <f>SUM(C58:E58)*1.5</f>
        <v>2.25</v>
      </c>
      <c r="G58" s="185">
        <f>B58+F58</f>
        <v>2.25</v>
      </c>
      <c r="H58" s="139"/>
      <c r="I58" s="139"/>
      <c r="J58" s="139"/>
      <c r="K58" s="139"/>
      <c r="L58" s="140">
        <f>SUM(I58:K58)*1.5</f>
        <v>0</v>
      </c>
      <c r="M58" s="185">
        <f t="shared" si="21"/>
        <v>0</v>
      </c>
      <c r="N58" s="139">
        <f>G58+M58</f>
        <v>2.25</v>
      </c>
      <c r="O58" s="139">
        <f>N58/2</f>
        <v>1.125</v>
      </c>
    </row>
    <row r="59" spans="1:15" ht="18.75">
      <c r="A59" s="133" t="s">
        <v>72</v>
      </c>
      <c r="B59" s="137">
        <v>0</v>
      </c>
      <c r="C59" s="137">
        <v>0</v>
      </c>
      <c r="D59" s="137">
        <v>0.33</v>
      </c>
      <c r="E59" s="137">
        <v>0</v>
      </c>
      <c r="F59" s="152">
        <f>SUM(C59:E59)*1.5</f>
        <v>0.495</v>
      </c>
      <c r="G59" s="184">
        <f>B59+F59</f>
        <v>0.495</v>
      </c>
      <c r="H59" s="137"/>
      <c r="I59" s="137"/>
      <c r="J59" s="137"/>
      <c r="K59" s="137"/>
      <c r="L59" s="152">
        <f>SUM(I59:K59)*1.5</f>
        <v>0</v>
      </c>
      <c r="M59" s="184">
        <f t="shared" si="21"/>
        <v>0</v>
      </c>
      <c r="N59" s="137">
        <f>G59+M59</f>
        <v>0.495</v>
      </c>
      <c r="O59" s="137">
        <f>N59/2</f>
        <v>0.2475</v>
      </c>
    </row>
    <row r="60" spans="1:15" ht="18.75">
      <c r="A60" s="138" t="s">
        <v>23</v>
      </c>
      <c r="B60" s="168">
        <v>0</v>
      </c>
      <c r="C60" s="168">
        <v>0</v>
      </c>
      <c r="D60" s="168">
        <v>1</v>
      </c>
      <c r="E60" s="168">
        <v>0</v>
      </c>
      <c r="F60" s="169">
        <f>SUM(C60:E60)*1.5</f>
        <v>1.5</v>
      </c>
      <c r="G60" s="186">
        <f>B60+F60</f>
        <v>1.5</v>
      </c>
      <c r="H60" s="168"/>
      <c r="I60" s="168"/>
      <c r="J60" s="168"/>
      <c r="K60" s="168"/>
      <c r="L60" s="169">
        <f>SUM(I60:K60)*1.5</f>
        <v>0</v>
      </c>
      <c r="M60" s="186">
        <f t="shared" si="21"/>
        <v>0</v>
      </c>
      <c r="N60" s="168">
        <f>G60+M60</f>
        <v>1.5</v>
      </c>
      <c r="O60" s="168">
        <f>N60/2</f>
        <v>0.75</v>
      </c>
    </row>
    <row r="61" spans="1:15" ht="18.75">
      <c r="A61" s="187" t="s">
        <v>77</v>
      </c>
      <c r="B61" s="164">
        <v>0</v>
      </c>
      <c r="C61" s="164">
        <v>0</v>
      </c>
      <c r="D61" s="164">
        <v>0</v>
      </c>
      <c r="E61" s="164">
        <v>0</v>
      </c>
      <c r="F61" s="165">
        <f>SUM(C61:E61)*1.5</f>
        <v>0</v>
      </c>
      <c r="G61" s="188">
        <f>B61+F61</f>
        <v>0</v>
      </c>
      <c r="H61" s="164"/>
      <c r="I61" s="164"/>
      <c r="J61" s="164"/>
      <c r="K61" s="164"/>
      <c r="L61" s="165">
        <f>SUM(I61:K61)*1.5</f>
        <v>0</v>
      </c>
      <c r="M61" s="188">
        <f>H61+L61</f>
        <v>0</v>
      </c>
      <c r="N61" s="164">
        <f>G61+M61</f>
        <v>0</v>
      </c>
      <c r="O61" s="164">
        <f>N61/2</f>
        <v>0</v>
      </c>
    </row>
    <row r="62" spans="1:15" ht="18.75">
      <c r="A62" s="132" t="s">
        <v>78</v>
      </c>
      <c r="B62" s="131">
        <f aca="true" t="shared" si="23" ref="B62:O62">B63</f>
        <v>40.83</v>
      </c>
      <c r="C62" s="131">
        <f t="shared" si="23"/>
        <v>0</v>
      </c>
      <c r="D62" s="131">
        <f t="shared" si="23"/>
        <v>24.83</v>
      </c>
      <c r="E62" s="131">
        <f t="shared" si="23"/>
        <v>0</v>
      </c>
      <c r="F62" s="131">
        <f t="shared" si="23"/>
        <v>37.245</v>
      </c>
      <c r="G62" s="131">
        <f t="shared" si="23"/>
        <v>78.07499999999999</v>
      </c>
      <c r="H62" s="131"/>
      <c r="I62" s="131"/>
      <c r="J62" s="131"/>
      <c r="K62" s="131"/>
      <c r="L62" s="131">
        <f t="shared" si="23"/>
        <v>0</v>
      </c>
      <c r="M62" s="131">
        <f t="shared" si="23"/>
        <v>0</v>
      </c>
      <c r="N62" s="131">
        <f t="shared" si="23"/>
        <v>78.07499999999999</v>
      </c>
      <c r="O62" s="131">
        <f t="shared" si="23"/>
        <v>39.037499999999994</v>
      </c>
    </row>
    <row r="63" spans="1:15" ht="18.75">
      <c r="A63" s="133" t="s">
        <v>79</v>
      </c>
      <c r="B63" s="134">
        <v>40.83</v>
      </c>
      <c r="C63" s="134">
        <v>0</v>
      </c>
      <c r="D63" s="134">
        <v>24.83</v>
      </c>
      <c r="E63" s="134">
        <v>0</v>
      </c>
      <c r="F63" s="135">
        <f>SUM(C63:E63)*1.5</f>
        <v>37.245</v>
      </c>
      <c r="G63" s="184">
        <f>B63+F63</f>
        <v>78.07499999999999</v>
      </c>
      <c r="H63" s="134"/>
      <c r="I63" s="134"/>
      <c r="J63" s="134"/>
      <c r="K63" s="134"/>
      <c r="L63" s="135">
        <f>SUM(I63:K63)*1.5</f>
        <v>0</v>
      </c>
      <c r="M63" s="184">
        <f>H63+L63</f>
        <v>0</v>
      </c>
      <c r="N63" s="137">
        <f>G63+M63</f>
        <v>78.07499999999999</v>
      </c>
      <c r="O63" s="137">
        <f>N63/2</f>
        <v>39.037499999999994</v>
      </c>
    </row>
    <row r="64" spans="1:15" ht="18.75">
      <c r="A64" s="132" t="s">
        <v>137</v>
      </c>
      <c r="B64" s="131">
        <f aca="true" t="shared" si="24" ref="B64:O64">B65</f>
        <v>16.89</v>
      </c>
      <c r="C64" s="131">
        <f t="shared" si="24"/>
        <v>0</v>
      </c>
      <c r="D64" s="131">
        <f t="shared" si="24"/>
        <v>0</v>
      </c>
      <c r="E64" s="131">
        <f t="shared" si="24"/>
        <v>0</v>
      </c>
      <c r="F64" s="131">
        <f t="shared" si="24"/>
        <v>0</v>
      </c>
      <c r="G64" s="131">
        <f t="shared" si="24"/>
        <v>16.89</v>
      </c>
      <c r="H64" s="131"/>
      <c r="I64" s="131"/>
      <c r="J64" s="131"/>
      <c r="K64" s="131"/>
      <c r="L64" s="131">
        <f t="shared" si="24"/>
        <v>0</v>
      </c>
      <c r="M64" s="131">
        <f t="shared" si="24"/>
        <v>0</v>
      </c>
      <c r="N64" s="131">
        <f t="shared" si="24"/>
        <v>16.89</v>
      </c>
      <c r="O64" s="131">
        <f t="shared" si="24"/>
        <v>8.445</v>
      </c>
    </row>
    <row r="65" spans="1:15" ht="18.75">
      <c r="A65" s="189" t="s">
        <v>68</v>
      </c>
      <c r="B65" s="190">
        <v>16.89</v>
      </c>
      <c r="C65" s="190">
        <v>0</v>
      </c>
      <c r="D65" s="190">
        <v>0</v>
      </c>
      <c r="E65" s="190">
        <v>0</v>
      </c>
      <c r="F65" s="191">
        <f>SUM(C65:E65)*1.5</f>
        <v>0</v>
      </c>
      <c r="G65" s="192">
        <f>B65+F65</f>
        <v>16.89</v>
      </c>
      <c r="H65" s="190"/>
      <c r="I65" s="190"/>
      <c r="J65" s="190"/>
      <c r="K65" s="190"/>
      <c r="L65" s="191">
        <f>SUM(I65:K65)*1.5</f>
        <v>0</v>
      </c>
      <c r="M65" s="192">
        <f>H65+L65</f>
        <v>0</v>
      </c>
      <c r="N65" s="193">
        <f>G65+M65</f>
        <v>16.89</v>
      </c>
      <c r="O65" s="193">
        <f>N65/2</f>
        <v>8.445</v>
      </c>
    </row>
    <row r="66" spans="1:15" ht="18.75">
      <c r="A66" s="567" t="s">
        <v>126</v>
      </c>
      <c r="B66" s="567"/>
      <c r="C66" s="567"/>
      <c r="D66" s="567"/>
      <c r="E66" s="567"/>
      <c r="F66" s="567"/>
      <c r="G66" s="567"/>
      <c r="H66" s="567"/>
      <c r="I66" s="567"/>
      <c r="J66" s="567"/>
      <c r="K66" s="567"/>
      <c r="L66" s="567"/>
      <c r="M66" s="567"/>
      <c r="N66" s="567"/>
      <c r="O66" s="567"/>
    </row>
    <row r="67" spans="1:15" ht="18.75">
      <c r="A67" s="119"/>
      <c r="B67" s="568" t="s">
        <v>143</v>
      </c>
      <c r="C67" s="568"/>
      <c r="D67" s="568"/>
      <c r="E67" s="568"/>
      <c r="F67" s="568"/>
      <c r="G67" s="569"/>
      <c r="H67" s="568" t="s">
        <v>115</v>
      </c>
      <c r="I67" s="568"/>
      <c r="J67" s="568"/>
      <c r="K67" s="568"/>
      <c r="L67" s="568"/>
      <c r="M67" s="569"/>
      <c r="N67" s="120" t="s">
        <v>3</v>
      </c>
      <c r="O67" s="119"/>
    </row>
    <row r="68" spans="1:15" ht="18.75">
      <c r="A68" s="121" t="s">
        <v>4</v>
      </c>
      <c r="B68" s="570" t="s">
        <v>5</v>
      </c>
      <c r="C68" s="568"/>
      <c r="D68" s="568"/>
      <c r="E68" s="568"/>
      <c r="F68" s="569"/>
      <c r="G68" s="121" t="s">
        <v>3</v>
      </c>
      <c r="H68" s="570" t="s">
        <v>5</v>
      </c>
      <c r="I68" s="568"/>
      <c r="J68" s="568"/>
      <c r="K68" s="568"/>
      <c r="L68" s="569"/>
      <c r="M68" s="121" t="s">
        <v>3</v>
      </c>
      <c r="N68" s="121" t="s">
        <v>6</v>
      </c>
      <c r="O68" s="121" t="s">
        <v>7</v>
      </c>
    </row>
    <row r="69" spans="1:15" ht="18.75">
      <c r="A69" s="122"/>
      <c r="B69" s="123" t="s">
        <v>8</v>
      </c>
      <c r="C69" s="123" t="s">
        <v>9</v>
      </c>
      <c r="D69" s="123" t="s">
        <v>10</v>
      </c>
      <c r="E69" s="123" t="s">
        <v>11</v>
      </c>
      <c r="F69" s="123" t="s">
        <v>12</v>
      </c>
      <c r="G69" s="123" t="s">
        <v>13</v>
      </c>
      <c r="H69" s="123" t="s">
        <v>8</v>
      </c>
      <c r="I69" s="123" t="s">
        <v>9</v>
      </c>
      <c r="J69" s="123" t="s">
        <v>10</v>
      </c>
      <c r="K69" s="123" t="s">
        <v>11</v>
      </c>
      <c r="L69" s="123" t="s">
        <v>12</v>
      </c>
      <c r="M69" s="123" t="s">
        <v>13</v>
      </c>
      <c r="N69" s="123"/>
      <c r="O69" s="122"/>
    </row>
    <row r="70" spans="1:15" ht="18.75">
      <c r="A70" s="175" t="s">
        <v>49</v>
      </c>
      <c r="B70" s="176">
        <f>B71+B72+B75</f>
        <v>6.8999999999999995</v>
      </c>
      <c r="C70" s="176">
        <f aca="true" t="shared" si="25" ref="C70:O70">C71+C72+C75</f>
        <v>0</v>
      </c>
      <c r="D70" s="176">
        <f t="shared" si="25"/>
        <v>0</v>
      </c>
      <c r="E70" s="176">
        <f t="shared" si="25"/>
        <v>0</v>
      </c>
      <c r="F70" s="176">
        <f t="shared" si="25"/>
        <v>0</v>
      </c>
      <c r="G70" s="176">
        <f t="shared" si="25"/>
        <v>6.8999999999999995</v>
      </c>
      <c r="H70" s="176">
        <f t="shared" si="25"/>
        <v>0</v>
      </c>
      <c r="I70" s="176">
        <f t="shared" si="25"/>
        <v>0</v>
      </c>
      <c r="J70" s="176">
        <f t="shared" si="25"/>
        <v>0</v>
      </c>
      <c r="K70" s="176">
        <f t="shared" si="25"/>
        <v>0</v>
      </c>
      <c r="L70" s="176">
        <f t="shared" si="25"/>
        <v>0</v>
      </c>
      <c r="M70" s="176">
        <f t="shared" si="25"/>
        <v>0</v>
      </c>
      <c r="N70" s="176">
        <f t="shared" si="25"/>
        <v>6.8999999999999995</v>
      </c>
      <c r="O70" s="176">
        <f t="shared" si="25"/>
        <v>3.4499999999999997</v>
      </c>
    </row>
    <row r="71" spans="1:15" ht="18.75">
      <c r="A71" s="132" t="s">
        <v>50</v>
      </c>
      <c r="B71" s="131">
        <v>2.3</v>
      </c>
      <c r="C71" s="131">
        <v>0</v>
      </c>
      <c r="D71" s="131">
        <v>0</v>
      </c>
      <c r="E71" s="131">
        <v>0</v>
      </c>
      <c r="F71" s="130">
        <f>SUM(C71:E71)*1.5</f>
        <v>0</v>
      </c>
      <c r="G71" s="143">
        <f>B71+F71</f>
        <v>2.3</v>
      </c>
      <c r="H71" s="131"/>
      <c r="I71" s="131"/>
      <c r="J71" s="131"/>
      <c r="K71" s="131"/>
      <c r="L71" s="130">
        <f>SUM(I71:K71)*1.5</f>
        <v>0</v>
      </c>
      <c r="M71" s="143">
        <f>H71+L71</f>
        <v>0</v>
      </c>
      <c r="N71" s="194">
        <f>G71+M71</f>
        <v>2.3</v>
      </c>
      <c r="O71" s="131">
        <f>N71/2</f>
        <v>1.15</v>
      </c>
    </row>
    <row r="72" spans="1:15" ht="18.75">
      <c r="A72" s="132" t="s">
        <v>51</v>
      </c>
      <c r="B72" s="131">
        <f>SUM(B73:B74)</f>
        <v>2.3</v>
      </c>
      <c r="C72" s="131">
        <f>SUM(C73:C74)</f>
        <v>0</v>
      </c>
      <c r="D72" s="131">
        <f>SUM(D73:D74)</f>
        <v>0</v>
      </c>
      <c r="E72" s="131">
        <f>SUM(E73:E74)</f>
        <v>0</v>
      </c>
      <c r="F72" s="131">
        <f aca="true" t="shared" si="26" ref="F72:O72">SUM(F73:F74)</f>
        <v>0</v>
      </c>
      <c r="G72" s="131">
        <f t="shared" si="26"/>
        <v>2.3</v>
      </c>
      <c r="H72" s="131"/>
      <c r="I72" s="131"/>
      <c r="J72" s="131"/>
      <c r="K72" s="131"/>
      <c r="L72" s="131">
        <f t="shared" si="26"/>
        <v>0</v>
      </c>
      <c r="M72" s="131">
        <f t="shared" si="26"/>
        <v>0</v>
      </c>
      <c r="N72" s="131">
        <f t="shared" si="26"/>
        <v>2.3</v>
      </c>
      <c r="O72" s="131">
        <f t="shared" si="26"/>
        <v>1.15</v>
      </c>
    </row>
    <row r="73" spans="1:15" ht="18.75">
      <c r="A73" s="133" t="s">
        <v>52</v>
      </c>
      <c r="B73" s="134">
        <v>2.3</v>
      </c>
      <c r="C73" s="134">
        <v>0</v>
      </c>
      <c r="D73" s="134">
        <v>0</v>
      </c>
      <c r="E73" s="134">
        <v>0</v>
      </c>
      <c r="F73" s="135">
        <f>SUM(C73:E73)*1.5</f>
        <v>0</v>
      </c>
      <c r="G73" s="184">
        <f>B73+F73</f>
        <v>2.3</v>
      </c>
      <c r="H73" s="134"/>
      <c r="I73" s="134"/>
      <c r="J73" s="134"/>
      <c r="K73" s="134"/>
      <c r="L73" s="135">
        <f>SUM(I73:K73)*1.5</f>
        <v>0</v>
      </c>
      <c r="M73" s="184">
        <f>H73+L73</f>
        <v>0</v>
      </c>
      <c r="N73" s="144">
        <f>G73+M73</f>
        <v>2.3</v>
      </c>
      <c r="O73" s="134">
        <f>N73/2</f>
        <v>1.15</v>
      </c>
    </row>
    <row r="74" spans="1:15" ht="18.75">
      <c r="A74" s="133" t="s">
        <v>53</v>
      </c>
      <c r="B74" s="134">
        <v>0</v>
      </c>
      <c r="C74" s="134">
        <v>0</v>
      </c>
      <c r="D74" s="134">
        <v>0</v>
      </c>
      <c r="E74" s="134">
        <v>0</v>
      </c>
      <c r="F74" s="135">
        <f>SUM(C74:E74)*1.5</f>
        <v>0</v>
      </c>
      <c r="G74" s="184">
        <f>B74+F74</f>
        <v>0</v>
      </c>
      <c r="H74" s="134"/>
      <c r="I74" s="134"/>
      <c r="J74" s="134"/>
      <c r="K74" s="134"/>
      <c r="L74" s="135">
        <f>SUM(I74:K74)*1.5</f>
        <v>0</v>
      </c>
      <c r="M74" s="184">
        <f>H74+L74</f>
        <v>0</v>
      </c>
      <c r="N74" s="144">
        <f>G74+M74</f>
        <v>0</v>
      </c>
      <c r="O74" s="134">
        <f>N74/2</f>
        <v>0</v>
      </c>
    </row>
    <row r="75" spans="1:15" ht="18.75">
      <c r="A75" s="132" t="s">
        <v>54</v>
      </c>
      <c r="B75" s="131">
        <v>2.3</v>
      </c>
      <c r="C75" s="131">
        <v>0</v>
      </c>
      <c r="D75" s="131">
        <v>0</v>
      </c>
      <c r="E75" s="131">
        <v>0</v>
      </c>
      <c r="F75" s="130">
        <f>SUM(C75:E75)*1.5</f>
        <v>0</v>
      </c>
      <c r="G75" s="143">
        <f>B75+F75</f>
        <v>2.3</v>
      </c>
      <c r="H75" s="131"/>
      <c r="I75" s="131"/>
      <c r="J75" s="131"/>
      <c r="K75" s="131"/>
      <c r="L75" s="130">
        <f>SUM(I75:K75)*1.5</f>
        <v>0</v>
      </c>
      <c r="M75" s="143">
        <f>H75+L75</f>
        <v>0</v>
      </c>
      <c r="N75" s="194">
        <f>G75+M75</f>
        <v>2.3</v>
      </c>
      <c r="O75" s="131">
        <f>N75/2</f>
        <v>1.15</v>
      </c>
    </row>
    <row r="76" spans="1:15" ht="18.75">
      <c r="A76" s="141" t="s">
        <v>82</v>
      </c>
      <c r="B76" s="195">
        <f aca="true" t="shared" si="27" ref="B76:O76">B77+B80</f>
        <v>0</v>
      </c>
      <c r="C76" s="195">
        <f t="shared" si="27"/>
        <v>0</v>
      </c>
      <c r="D76" s="195">
        <f t="shared" si="27"/>
        <v>23.75</v>
      </c>
      <c r="E76" s="195">
        <f t="shared" si="27"/>
        <v>0</v>
      </c>
      <c r="F76" s="195">
        <f t="shared" si="27"/>
        <v>35.625</v>
      </c>
      <c r="G76" s="195">
        <f t="shared" si="27"/>
        <v>35.625</v>
      </c>
      <c r="H76" s="195">
        <f t="shared" si="27"/>
        <v>0</v>
      </c>
      <c r="I76" s="195">
        <f t="shared" si="27"/>
        <v>0</v>
      </c>
      <c r="J76" s="195">
        <f t="shared" si="27"/>
        <v>0</v>
      </c>
      <c r="K76" s="195">
        <f t="shared" si="27"/>
        <v>0</v>
      </c>
      <c r="L76" s="195">
        <f t="shared" si="27"/>
        <v>0</v>
      </c>
      <c r="M76" s="195">
        <f t="shared" si="27"/>
        <v>0</v>
      </c>
      <c r="N76" s="195">
        <f t="shared" si="27"/>
        <v>35.625</v>
      </c>
      <c r="O76" s="195">
        <f t="shared" si="27"/>
        <v>17.8125</v>
      </c>
    </row>
    <row r="77" spans="1:15" ht="18.75">
      <c r="A77" s="133" t="s">
        <v>83</v>
      </c>
      <c r="B77" s="134">
        <v>0</v>
      </c>
      <c r="C77" s="134">
        <v>0</v>
      </c>
      <c r="D77" s="134">
        <v>15.5</v>
      </c>
      <c r="E77" s="134">
        <v>0</v>
      </c>
      <c r="F77" s="135">
        <f>SUM(C77:E77)*1.5</f>
        <v>23.25</v>
      </c>
      <c r="G77" s="184">
        <f>B77+F77</f>
        <v>23.25</v>
      </c>
      <c r="H77" s="134"/>
      <c r="I77" s="134"/>
      <c r="J77" s="134"/>
      <c r="K77" s="134"/>
      <c r="L77" s="135">
        <f>SUM(I77:K77)*1.5</f>
        <v>0</v>
      </c>
      <c r="M77" s="184">
        <f>H77+L77</f>
        <v>0</v>
      </c>
      <c r="N77" s="134">
        <f>G77+M77</f>
        <v>23.25</v>
      </c>
      <c r="O77" s="134">
        <f>N77/2</f>
        <v>11.625</v>
      </c>
    </row>
    <row r="78" spans="1:15" ht="18.75">
      <c r="A78" s="150" t="s">
        <v>73</v>
      </c>
      <c r="B78" s="139">
        <v>0</v>
      </c>
      <c r="C78" s="139">
        <v>0</v>
      </c>
      <c r="D78" s="139">
        <v>4</v>
      </c>
      <c r="E78" s="139">
        <v>0</v>
      </c>
      <c r="F78" s="140">
        <f>SUM(C78:E78)*1.5</f>
        <v>6</v>
      </c>
      <c r="G78" s="185">
        <f>B78+F78</f>
        <v>6</v>
      </c>
      <c r="H78" s="139"/>
      <c r="I78" s="139"/>
      <c r="J78" s="139"/>
      <c r="K78" s="139"/>
      <c r="L78" s="140">
        <f>SUM(I78:K78)*1.5</f>
        <v>0</v>
      </c>
      <c r="M78" s="185">
        <f>H78+L78</f>
        <v>0</v>
      </c>
      <c r="N78" s="139">
        <f>G78+M78</f>
        <v>6</v>
      </c>
      <c r="O78" s="139">
        <f>N78/2</f>
        <v>3</v>
      </c>
    </row>
    <row r="79" spans="1:15" ht="18.75">
      <c r="A79" s="150" t="s">
        <v>138</v>
      </c>
      <c r="B79" s="139">
        <v>0</v>
      </c>
      <c r="C79" s="139">
        <v>0</v>
      </c>
      <c r="D79" s="139">
        <v>4</v>
      </c>
      <c r="E79" s="139">
        <v>0</v>
      </c>
      <c r="F79" s="140">
        <f>SUM(C79:E79)*1.5</f>
        <v>6</v>
      </c>
      <c r="G79" s="185">
        <f>B79+F79</f>
        <v>6</v>
      </c>
      <c r="H79" s="139"/>
      <c r="I79" s="139"/>
      <c r="J79" s="139"/>
      <c r="K79" s="139"/>
      <c r="L79" s="140">
        <f>SUM(I79:K79)*1.5</f>
        <v>0</v>
      </c>
      <c r="M79" s="185">
        <f>H79+L79</f>
        <v>0</v>
      </c>
      <c r="N79" s="139">
        <f>G79+M79</f>
        <v>6</v>
      </c>
      <c r="O79" s="139">
        <f>N79/2</f>
        <v>3</v>
      </c>
    </row>
    <row r="80" spans="1:15" ht="18.75">
      <c r="A80" s="133" t="s">
        <v>84</v>
      </c>
      <c r="B80" s="134">
        <v>0</v>
      </c>
      <c r="C80" s="134">
        <v>0</v>
      </c>
      <c r="D80" s="134">
        <v>8.25</v>
      </c>
      <c r="E80" s="134">
        <v>0</v>
      </c>
      <c r="F80" s="135">
        <f>SUM(C80:E80)*1.5</f>
        <v>12.375</v>
      </c>
      <c r="G80" s="184">
        <f>B80+F80</f>
        <v>12.375</v>
      </c>
      <c r="H80" s="134"/>
      <c r="I80" s="134"/>
      <c r="J80" s="134"/>
      <c r="K80" s="134"/>
      <c r="L80" s="135">
        <f>SUM(I80:K80)*1.5</f>
        <v>0</v>
      </c>
      <c r="M80" s="184">
        <f>H80+L80</f>
        <v>0</v>
      </c>
      <c r="N80" s="134">
        <f>G80+M80</f>
        <v>12.375</v>
      </c>
      <c r="O80" s="134">
        <f>N80/2</f>
        <v>6.1875</v>
      </c>
    </row>
    <row r="81" spans="1:15" ht="18.75">
      <c r="A81" s="138" t="s">
        <v>73</v>
      </c>
      <c r="B81" s="168">
        <v>0</v>
      </c>
      <c r="C81" s="168">
        <v>0</v>
      </c>
      <c r="D81" s="168">
        <v>1</v>
      </c>
      <c r="E81" s="168">
        <v>0</v>
      </c>
      <c r="F81" s="169">
        <f>SUM(C81:E81)*1.5</f>
        <v>1.5</v>
      </c>
      <c r="G81" s="186">
        <f>B81+F81</f>
        <v>1.5</v>
      </c>
      <c r="H81" s="168"/>
      <c r="I81" s="168"/>
      <c r="J81" s="168"/>
      <c r="K81" s="168"/>
      <c r="L81" s="169">
        <f>SUM(I81:K81)*1.5</f>
        <v>0</v>
      </c>
      <c r="M81" s="186">
        <f>H81+L81</f>
        <v>0</v>
      </c>
      <c r="N81" s="168">
        <f>G81+M81</f>
        <v>1.5</v>
      </c>
      <c r="O81" s="168">
        <f>N81/2</f>
        <v>0.75</v>
      </c>
    </row>
    <row r="82" spans="1:15" ht="18.75">
      <c r="A82" s="141" t="s">
        <v>85</v>
      </c>
      <c r="B82" s="142">
        <f aca="true" t="shared" si="28" ref="B82:O82">B83+B85</f>
        <v>58.67</v>
      </c>
      <c r="C82" s="142">
        <f t="shared" si="28"/>
        <v>0</v>
      </c>
      <c r="D82" s="142">
        <f t="shared" si="28"/>
        <v>2</v>
      </c>
      <c r="E82" s="142">
        <f t="shared" si="28"/>
        <v>0</v>
      </c>
      <c r="F82" s="142">
        <f t="shared" si="28"/>
        <v>5</v>
      </c>
      <c r="G82" s="142">
        <f t="shared" si="28"/>
        <v>63.67</v>
      </c>
      <c r="H82" s="142">
        <f t="shared" si="28"/>
        <v>0</v>
      </c>
      <c r="I82" s="142">
        <f t="shared" si="28"/>
        <v>0</v>
      </c>
      <c r="J82" s="142">
        <f t="shared" si="28"/>
        <v>0</v>
      </c>
      <c r="K82" s="142">
        <f t="shared" si="28"/>
        <v>0</v>
      </c>
      <c r="L82" s="142">
        <f t="shared" si="28"/>
        <v>0</v>
      </c>
      <c r="M82" s="142">
        <f t="shared" si="28"/>
        <v>0</v>
      </c>
      <c r="N82" s="142">
        <f t="shared" si="28"/>
        <v>63.67</v>
      </c>
      <c r="O82" s="142">
        <f t="shared" si="28"/>
        <v>31.835</v>
      </c>
    </row>
    <row r="83" spans="1:15" ht="18.75">
      <c r="A83" s="132" t="s">
        <v>101</v>
      </c>
      <c r="B83" s="151">
        <f aca="true" t="shared" si="29" ref="B83:O83">B84</f>
        <v>58.67</v>
      </c>
      <c r="C83" s="151">
        <f t="shared" si="29"/>
        <v>0</v>
      </c>
      <c r="D83" s="151">
        <f t="shared" si="29"/>
        <v>0</v>
      </c>
      <c r="E83" s="151">
        <f t="shared" si="29"/>
        <v>0</v>
      </c>
      <c r="F83" s="151">
        <f t="shared" si="29"/>
        <v>0</v>
      </c>
      <c r="G83" s="151">
        <f t="shared" si="29"/>
        <v>58.67</v>
      </c>
      <c r="H83" s="151"/>
      <c r="I83" s="151"/>
      <c r="J83" s="151"/>
      <c r="K83" s="151"/>
      <c r="L83" s="151">
        <f t="shared" si="29"/>
        <v>0</v>
      </c>
      <c r="M83" s="151">
        <f t="shared" si="29"/>
        <v>0</v>
      </c>
      <c r="N83" s="151">
        <f t="shared" si="29"/>
        <v>58.67</v>
      </c>
      <c r="O83" s="151">
        <f t="shared" si="29"/>
        <v>29.335</v>
      </c>
    </row>
    <row r="84" spans="1:15" ht="18.75">
      <c r="A84" s="133" t="s">
        <v>103</v>
      </c>
      <c r="B84" s="137">
        <v>58.67</v>
      </c>
      <c r="C84" s="137">
        <v>0</v>
      </c>
      <c r="D84" s="137">
        <v>0</v>
      </c>
      <c r="E84" s="137">
        <v>0</v>
      </c>
      <c r="F84" s="152">
        <f>SUM(C84:E84)*2.5</f>
        <v>0</v>
      </c>
      <c r="G84" s="158">
        <f>B84+F84</f>
        <v>58.67</v>
      </c>
      <c r="H84" s="137"/>
      <c r="I84" s="137"/>
      <c r="J84" s="137"/>
      <c r="K84" s="137"/>
      <c r="L84" s="152">
        <f>SUM(I84:K84)*2.5</f>
        <v>0</v>
      </c>
      <c r="M84" s="158">
        <f>H84+L84</f>
        <v>0</v>
      </c>
      <c r="N84" s="137">
        <f>G84+M84</f>
        <v>58.67</v>
      </c>
      <c r="O84" s="137">
        <f>N84/2</f>
        <v>29.335</v>
      </c>
    </row>
    <row r="85" spans="1:15" ht="18.75">
      <c r="A85" s="132" t="s">
        <v>95</v>
      </c>
      <c r="B85" s="151">
        <f aca="true" t="shared" si="30" ref="B85:O85">B86</f>
        <v>0</v>
      </c>
      <c r="C85" s="151">
        <f t="shared" si="30"/>
        <v>0</v>
      </c>
      <c r="D85" s="151">
        <f t="shared" si="30"/>
        <v>2</v>
      </c>
      <c r="E85" s="151">
        <f t="shared" si="30"/>
        <v>0</v>
      </c>
      <c r="F85" s="151">
        <f t="shared" si="30"/>
        <v>5</v>
      </c>
      <c r="G85" s="151">
        <f t="shared" si="30"/>
        <v>5</v>
      </c>
      <c r="H85" s="151"/>
      <c r="I85" s="151"/>
      <c r="J85" s="151"/>
      <c r="K85" s="151"/>
      <c r="L85" s="151">
        <f t="shared" si="30"/>
        <v>0</v>
      </c>
      <c r="M85" s="151">
        <f t="shared" si="30"/>
        <v>0</v>
      </c>
      <c r="N85" s="151">
        <f t="shared" si="30"/>
        <v>5</v>
      </c>
      <c r="O85" s="151">
        <f t="shared" si="30"/>
        <v>2.5</v>
      </c>
    </row>
    <row r="86" spans="1:15" ht="18.75">
      <c r="A86" s="133" t="s">
        <v>96</v>
      </c>
      <c r="B86" s="137">
        <v>0</v>
      </c>
      <c r="C86" s="137">
        <v>0</v>
      </c>
      <c r="D86" s="137">
        <v>2</v>
      </c>
      <c r="E86" s="137">
        <v>0</v>
      </c>
      <c r="F86" s="152">
        <f>SUM(C86:E86)*2.5</f>
        <v>5</v>
      </c>
      <c r="G86" s="158">
        <f>B86+F86</f>
        <v>5</v>
      </c>
      <c r="H86" s="137"/>
      <c r="I86" s="137"/>
      <c r="J86" s="137"/>
      <c r="K86" s="137"/>
      <c r="L86" s="152">
        <f>SUM(I86:K86)*2.5</f>
        <v>0</v>
      </c>
      <c r="M86" s="158">
        <f>H86+L86</f>
        <v>0</v>
      </c>
      <c r="N86" s="137">
        <f>G86+M86</f>
        <v>5</v>
      </c>
      <c r="O86" s="137">
        <f>N86/2</f>
        <v>2.5</v>
      </c>
    </row>
    <row r="87" spans="1:15" ht="18.75">
      <c r="A87" s="196" t="s">
        <v>23</v>
      </c>
      <c r="B87" s="197">
        <v>0</v>
      </c>
      <c r="C87" s="197">
        <v>0</v>
      </c>
      <c r="D87" s="197">
        <v>1.5</v>
      </c>
      <c r="E87" s="197">
        <v>0</v>
      </c>
      <c r="F87" s="198">
        <f>SUM(C87:E87)*2.5</f>
        <v>3.75</v>
      </c>
      <c r="G87" s="199">
        <f>B87+F87</f>
        <v>3.75</v>
      </c>
      <c r="H87" s="197"/>
      <c r="I87" s="197"/>
      <c r="J87" s="197"/>
      <c r="K87" s="197"/>
      <c r="L87" s="198">
        <f>SUM(I87:K87)*2.5</f>
        <v>0</v>
      </c>
      <c r="M87" s="199">
        <f>H87+L87</f>
        <v>0</v>
      </c>
      <c r="N87" s="197">
        <f>G87+M87</f>
        <v>3.75</v>
      </c>
      <c r="O87" s="197">
        <f>N87/2</f>
        <v>1.875</v>
      </c>
    </row>
    <row r="88" spans="1:15" ht="18.75">
      <c r="A88" s="567" t="s">
        <v>126</v>
      </c>
      <c r="B88" s="567"/>
      <c r="C88" s="567"/>
      <c r="D88" s="567"/>
      <c r="E88" s="567"/>
      <c r="F88" s="567"/>
      <c r="G88" s="567"/>
      <c r="H88" s="567"/>
      <c r="I88" s="567"/>
      <c r="J88" s="567"/>
      <c r="K88" s="567"/>
      <c r="L88" s="567"/>
      <c r="M88" s="567"/>
      <c r="N88" s="567"/>
      <c r="O88" s="567"/>
    </row>
    <row r="89" spans="1:15" ht="18.75">
      <c r="A89" s="119"/>
      <c r="B89" s="568" t="s">
        <v>143</v>
      </c>
      <c r="C89" s="568"/>
      <c r="D89" s="568"/>
      <c r="E89" s="568"/>
      <c r="F89" s="568"/>
      <c r="G89" s="569"/>
      <c r="H89" s="568" t="s">
        <v>115</v>
      </c>
      <c r="I89" s="568"/>
      <c r="J89" s="568"/>
      <c r="K89" s="568"/>
      <c r="L89" s="568"/>
      <c r="M89" s="569"/>
      <c r="N89" s="120" t="s">
        <v>3</v>
      </c>
      <c r="O89" s="119"/>
    </row>
    <row r="90" spans="1:15" ht="18.75">
      <c r="A90" s="121" t="s">
        <v>4</v>
      </c>
      <c r="B90" s="570" t="s">
        <v>5</v>
      </c>
      <c r="C90" s="568"/>
      <c r="D90" s="568"/>
      <c r="E90" s="568"/>
      <c r="F90" s="569"/>
      <c r="G90" s="121" t="s">
        <v>3</v>
      </c>
      <c r="H90" s="570" t="s">
        <v>5</v>
      </c>
      <c r="I90" s="568"/>
      <c r="J90" s="568"/>
      <c r="K90" s="568"/>
      <c r="L90" s="569"/>
      <c r="M90" s="121" t="s">
        <v>3</v>
      </c>
      <c r="N90" s="121" t="s">
        <v>6</v>
      </c>
      <c r="O90" s="121" t="s">
        <v>7</v>
      </c>
    </row>
    <row r="91" spans="1:15" ht="18.75">
      <c r="A91" s="122"/>
      <c r="B91" s="123" t="s">
        <v>8</v>
      </c>
      <c r="C91" s="123" t="s">
        <v>9</v>
      </c>
      <c r="D91" s="123" t="s">
        <v>10</v>
      </c>
      <c r="E91" s="123" t="s">
        <v>11</v>
      </c>
      <c r="F91" s="123" t="s">
        <v>12</v>
      </c>
      <c r="G91" s="123" t="s">
        <v>13</v>
      </c>
      <c r="H91" s="123" t="s">
        <v>8</v>
      </c>
      <c r="I91" s="123" t="s">
        <v>9</v>
      </c>
      <c r="J91" s="123" t="s">
        <v>10</v>
      </c>
      <c r="K91" s="123" t="s">
        <v>11</v>
      </c>
      <c r="L91" s="123" t="s">
        <v>12</v>
      </c>
      <c r="M91" s="123" t="s">
        <v>13</v>
      </c>
      <c r="N91" s="123"/>
      <c r="O91" s="122"/>
    </row>
    <row r="92" spans="1:15" ht="18.75">
      <c r="A92" s="175" t="s">
        <v>104</v>
      </c>
      <c r="B92" s="200">
        <f>B93</f>
        <v>20.11</v>
      </c>
      <c r="C92" s="200">
        <f aca="true" t="shared" si="31" ref="C92:O92">C93</f>
        <v>0</v>
      </c>
      <c r="D92" s="200">
        <f t="shared" si="31"/>
        <v>0</v>
      </c>
      <c r="E92" s="200">
        <f t="shared" si="31"/>
        <v>0</v>
      </c>
      <c r="F92" s="200">
        <f t="shared" si="31"/>
        <v>0</v>
      </c>
      <c r="G92" s="200">
        <f t="shared" si="31"/>
        <v>20.11</v>
      </c>
      <c r="H92" s="200">
        <f t="shared" si="31"/>
        <v>0</v>
      </c>
      <c r="I92" s="200">
        <f t="shared" si="31"/>
        <v>0</v>
      </c>
      <c r="J92" s="200">
        <f t="shared" si="31"/>
        <v>0</v>
      </c>
      <c r="K92" s="200">
        <f t="shared" si="31"/>
        <v>0</v>
      </c>
      <c r="L92" s="200">
        <f t="shared" si="31"/>
        <v>0</v>
      </c>
      <c r="M92" s="200">
        <f t="shared" si="31"/>
        <v>0</v>
      </c>
      <c r="N92" s="200">
        <f t="shared" si="31"/>
        <v>20.11</v>
      </c>
      <c r="O92" s="200">
        <f t="shared" si="31"/>
        <v>10.055</v>
      </c>
    </row>
    <row r="93" spans="1:15" ht="18.75">
      <c r="A93" s="132" t="s">
        <v>105</v>
      </c>
      <c r="B93" s="131">
        <v>20.11</v>
      </c>
      <c r="C93" s="131">
        <v>0</v>
      </c>
      <c r="D93" s="131">
        <v>0</v>
      </c>
      <c r="E93" s="131">
        <v>0</v>
      </c>
      <c r="F93" s="130">
        <f>SUM(C93:E93)*2.5</f>
        <v>0</v>
      </c>
      <c r="G93" s="151">
        <f>B93+F93</f>
        <v>20.11</v>
      </c>
      <c r="H93" s="131"/>
      <c r="I93" s="131"/>
      <c r="J93" s="131"/>
      <c r="K93" s="131"/>
      <c r="L93" s="130">
        <f>SUM(I93:K93)*2.5</f>
        <v>0</v>
      </c>
      <c r="M93" s="151">
        <f>H93+L93</f>
        <v>0</v>
      </c>
      <c r="N93" s="131">
        <f>G93+M93</f>
        <v>20.11</v>
      </c>
      <c r="O93" s="131">
        <f>N93/2</f>
        <v>10.055</v>
      </c>
    </row>
    <row r="94" spans="1:15" ht="18.75">
      <c r="A94" s="133" t="s">
        <v>139</v>
      </c>
      <c r="B94" s="137">
        <v>0</v>
      </c>
      <c r="C94" s="137">
        <v>0</v>
      </c>
      <c r="D94" s="137">
        <v>0</v>
      </c>
      <c r="E94" s="137">
        <v>0</v>
      </c>
      <c r="F94" s="152">
        <f>SUM(C94:E94)*2.5</f>
        <v>0</v>
      </c>
      <c r="G94" s="158">
        <f>B94+F94</f>
        <v>0</v>
      </c>
      <c r="H94" s="137"/>
      <c r="I94" s="137"/>
      <c r="J94" s="137"/>
      <c r="K94" s="137"/>
      <c r="L94" s="152">
        <f>SUM(I94:K94)*2.5</f>
        <v>0</v>
      </c>
      <c r="M94" s="158">
        <f>H94+L94</f>
        <v>0</v>
      </c>
      <c r="N94" s="137">
        <f>G94+M94</f>
        <v>0</v>
      </c>
      <c r="O94" s="137">
        <f>N94/2</f>
        <v>0</v>
      </c>
    </row>
    <row r="95" spans="1:15" ht="18.75">
      <c r="A95" s="196" t="s">
        <v>23</v>
      </c>
      <c r="B95" s="197">
        <v>0</v>
      </c>
      <c r="C95" s="197">
        <v>0</v>
      </c>
      <c r="D95" s="197">
        <v>0</v>
      </c>
      <c r="E95" s="197">
        <v>0</v>
      </c>
      <c r="F95" s="198">
        <f>SUM(C95:E95)*2.5</f>
        <v>0</v>
      </c>
      <c r="G95" s="199">
        <f>B95+F95</f>
        <v>0</v>
      </c>
      <c r="H95" s="197"/>
      <c r="I95" s="197"/>
      <c r="J95" s="197"/>
      <c r="K95" s="197"/>
      <c r="L95" s="198">
        <f>SUM(I95:K95)*2.5</f>
        <v>0</v>
      </c>
      <c r="M95" s="199">
        <f>H95+L95</f>
        <v>0</v>
      </c>
      <c r="N95" s="197">
        <f>G95+M95</f>
        <v>0</v>
      </c>
      <c r="O95" s="197">
        <f>N95/2</f>
        <v>0</v>
      </c>
    </row>
    <row r="96" spans="1:7" ht="18.75">
      <c r="A96" s="201" t="s">
        <v>140</v>
      </c>
      <c r="B96" s="201"/>
      <c r="C96" s="201"/>
      <c r="D96" s="201"/>
      <c r="E96" s="201"/>
      <c r="F96" s="201"/>
      <c r="G96" s="201"/>
    </row>
    <row r="97" spans="1:15" ht="21.75">
      <c r="A97" s="202" t="s">
        <v>141</v>
      </c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21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21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</sheetData>
  <sheetProtection/>
  <mergeCells count="25">
    <mergeCell ref="B90:F90"/>
    <mergeCell ref="H90:L90"/>
    <mergeCell ref="H47:L47"/>
    <mergeCell ref="A66:O66"/>
    <mergeCell ref="B67:G67"/>
    <mergeCell ref="H67:M67"/>
    <mergeCell ref="A88:O88"/>
    <mergeCell ref="B89:G89"/>
    <mergeCell ref="H89:M89"/>
    <mergeCell ref="B68:F68"/>
    <mergeCell ref="H68:L68"/>
    <mergeCell ref="B25:G25"/>
    <mergeCell ref="H25:M25"/>
    <mergeCell ref="B26:F26"/>
    <mergeCell ref="H26:L26"/>
    <mergeCell ref="A45:O45"/>
    <mergeCell ref="B46:G46"/>
    <mergeCell ref="H46:M46"/>
    <mergeCell ref="B47:F47"/>
    <mergeCell ref="A24:O24"/>
    <mergeCell ref="A1:O1"/>
    <mergeCell ref="B2:G2"/>
    <mergeCell ref="H2:M2"/>
    <mergeCell ref="B3:F3"/>
    <mergeCell ref="H3:L3"/>
  </mergeCells>
  <printOptions horizontalCentered="1"/>
  <pageMargins left="0.5905511811023623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&amp;L&amp;10งานสารสนเทศและประเมินผล&amp;C&amp;10 ข้อมูล ณ วันที  13  พฤศจิกายน  2550&amp;R&amp;10FTES 2 - 50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62"/>
  <sheetViews>
    <sheetView zoomScalePageLayoutView="0" workbookViewId="0" topLeftCell="A1">
      <selection activeCell="K12" sqref="K12"/>
    </sheetView>
  </sheetViews>
  <sheetFormatPr defaultColWidth="9.140625" defaultRowHeight="21.75"/>
  <cols>
    <col min="1" max="1" width="29.57421875" style="1" customWidth="1"/>
    <col min="2" max="2" width="8.140625" style="1" bestFit="1" customWidth="1"/>
    <col min="3" max="4" width="7.7109375" style="1" customWidth="1"/>
    <col min="5" max="5" width="6.8515625" style="1" customWidth="1"/>
    <col min="6" max="6" width="7.7109375" style="1" customWidth="1"/>
    <col min="7" max="7" width="8.140625" style="1" bestFit="1" customWidth="1"/>
    <col min="8" max="8" width="9.00390625" style="1" bestFit="1" customWidth="1"/>
    <col min="9" max="10" width="7.7109375" style="1" customWidth="1"/>
    <col min="11" max="11" width="7.28125" style="1" customWidth="1"/>
    <col min="12" max="12" width="7.7109375" style="1" customWidth="1"/>
    <col min="13" max="15" width="9.00390625" style="1" bestFit="1" customWidth="1"/>
    <col min="16" max="16384" width="9.140625" style="1" customWidth="1"/>
  </cols>
  <sheetData>
    <row r="1" spans="1:15" ht="18.75">
      <c r="A1" s="563" t="s">
        <v>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</row>
    <row r="2" spans="1:15" ht="18.75">
      <c r="A2" s="2"/>
      <c r="B2" s="564" t="s">
        <v>1</v>
      </c>
      <c r="C2" s="564"/>
      <c r="D2" s="564"/>
      <c r="E2" s="564"/>
      <c r="F2" s="564"/>
      <c r="G2" s="565"/>
      <c r="H2" s="564" t="s">
        <v>2</v>
      </c>
      <c r="I2" s="564"/>
      <c r="J2" s="564"/>
      <c r="K2" s="564"/>
      <c r="L2" s="564"/>
      <c r="M2" s="565"/>
      <c r="N2" s="3" t="s">
        <v>3</v>
      </c>
      <c r="O2" s="4"/>
    </row>
    <row r="3" spans="1:15" ht="18.75">
      <c r="A3" s="5" t="s">
        <v>4</v>
      </c>
      <c r="B3" s="566" t="s">
        <v>5</v>
      </c>
      <c r="C3" s="564"/>
      <c r="D3" s="564"/>
      <c r="E3" s="564"/>
      <c r="F3" s="565"/>
      <c r="G3" s="5" t="s">
        <v>3</v>
      </c>
      <c r="H3" s="566" t="s">
        <v>5</v>
      </c>
      <c r="I3" s="564"/>
      <c r="J3" s="564"/>
      <c r="K3" s="564"/>
      <c r="L3" s="565"/>
      <c r="M3" s="5" t="s">
        <v>3</v>
      </c>
      <c r="N3" s="6" t="s">
        <v>6</v>
      </c>
      <c r="O3" s="6" t="s">
        <v>7</v>
      </c>
    </row>
    <row r="4" spans="1:15" ht="18.75">
      <c r="A4" s="7"/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9"/>
      <c r="O4" s="10"/>
    </row>
    <row r="5" spans="1:15" ht="18.75">
      <c r="A5" s="11" t="s">
        <v>14</v>
      </c>
      <c r="B5" s="12">
        <f aca="true" t="shared" si="0" ref="B5:O5">B6+B16+B56+B58+B64+B100+B105+B138+B142</f>
        <v>9292.22</v>
      </c>
      <c r="C5" s="12">
        <f t="shared" si="0"/>
        <v>12.5</v>
      </c>
      <c r="D5" s="12">
        <f t="shared" si="0"/>
        <v>71.07000000000001</v>
      </c>
      <c r="E5" s="12">
        <f t="shared" si="0"/>
        <v>2.5</v>
      </c>
      <c r="F5" s="12">
        <f t="shared" si="0"/>
        <v>148.27499999999998</v>
      </c>
      <c r="G5" s="12">
        <f t="shared" si="0"/>
        <v>9440.494999999999</v>
      </c>
      <c r="H5" s="12">
        <f t="shared" si="0"/>
        <v>11160.349999999999</v>
      </c>
      <c r="I5" s="12">
        <f t="shared" si="0"/>
        <v>79.25</v>
      </c>
      <c r="J5" s="12">
        <f t="shared" si="0"/>
        <v>113.06</v>
      </c>
      <c r="K5" s="12">
        <f t="shared" si="0"/>
        <v>2.5</v>
      </c>
      <c r="L5" s="12">
        <f t="shared" si="0"/>
        <v>310.54499999999996</v>
      </c>
      <c r="M5" s="12">
        <f t="shared" si="0"/>
        <v>11470.895</v>
      </c>
      <c r="N5" s="12">
        <f t="shared" si="0"/>
        <v>20911.390000000003</v>
      </c>
      <c r="O5" s="12">
        <f t="shared" si="0"/>
        <v>10455.695000000002</v>
      </c>
    </row>
    <row r="6" spans="1:15" ht="18.75">
      <c r="A6" s="13" t="s">
        <v>15</v>
      </c>
      <c r="B6" s="14">
        <f aca="true" t="shared" si="1" ref="B6:O6">SUM(B7:B9)</f>
        <v>1436.3999999999999</v>
      </c>
      <c r="C6" s="14">
        <f t="shared" si="1"/>
        <v>0</v>
      </c>
      <c r="D6" s="14">
        <f t="shared" si="1"/>
        <v>1</v>
      </c>
      <c r="E6" s="14">
        <f t="shared" si="1"/>
        <v>0</v>
      </c>
      <c r="F6" s="14">
        <f t="shared" si="1"/>
        <v>1.5</v>
      </c>
      <c r="G6" s="14">
        <f t="shared" si="1"/>
        <v>1437.8999999999999</v>
      </c>
      <c r="H6" s="14">
        <f t="shared" si="1"/>
        <v>1766.54</v>
      </c>
      <c r="I6" s="14">
        <f t="shared" si="1"/>
        <v>0</v>
      </c>
      <c r="J6" s="14">
        <f t="shared" si="1"/>
        <v>0</v>
      </c>
      <c r="K6" s="14">
        <f t="shared" si="1"/>
        <v>0</v>
      </c>
      <c r="L6" s="14">
        <f t="shared" si="1"/>
        <v>0</v>
      </c>
      <c r="M6" s="14">
        <f t="shared" si="1"/>
        <v>1766.54</v>
      </c>
      <c r="N6" s="14">
        <f t="shared" si="1"/>
        <v>3204.4400000000005</v>
      </c>
      <c r="O6" s="14">
        <f t="shared" si="1"/>
        <v>1602.2200000000003</v>
      </c>
    </row>
    <row r="7" spans="1:15" ht="18.75">
      <c r="A7" s="15" t="s">
        <v>16</v>
      </c>
      <c r="B7" s="16">
        <v>268.42</v>
      </c>
      <c r="C7" s="16">
        <v>0</v>
      </c>
      <c r="D7" s="16">
        <v>0</v>
      </c>
      <c r="E7" s="16">
        <v>0</v>
      </c>
      <c r="F7" s="17">
        <f>SUM(C7:E7)*1.5</f>
        <v>0</v>
      </c>
      <c r="G7" s="17">
        <f>B7+F7</f>
        <v>268.42</v>
      </c>
      <c r="H7" s="16">
        <v>351.21</v>
      </c>
      <c r="I7" s="16">
        <v>0</v>
      </c>
      <c r="J7" s="16">
        <v>0</v>
      </c>
      <c r="K7" s="16">
        <v>0</v>
      </c>
      <c r="L7" s="17">
        <f>SUM(I7:K7)*1.5</f>
        <v>0</v>
      </c>
      <c r="M7" s="17">
        <f>H7+L7</f>
        <v>351.21</v>
      </c>
      <c r="N7" s="16">
        <f>G7+M7</f>
        <v>619.63</v>
      </c>
      <c r="O7" s="16">
        <f>N7/2</f>
        <v>309.815</v>
      </c>
    </row>
    <row r="8" spans="1:15" ht="18.75">
      <c r="A8" s="15" t="s">
        <v>17</v>
      </c>
      <c r="B8" s="16">
        <v>324.05</v>
      </c>
      <c r="C8" s="16">
        <v>0</v>
      </c>
      <c r="D8" s="16">
        <v>0</v>
      </c>
      <c r="E8" s="16">
        <v>0</v>
      </c>
      <c r="F8" s="17">
        <f>SUM(C8:E8)*1.5</f>
        <v>0</v>
      </c>
      <c r="G8" s="17">
        <f>B8+F8</f>
        <v>324.05</v>
      </c>
      <c r="H8" s="16">
        <v>425.64</v>
      </c>
      <c r="I8" s="16">
        <v>0</v>
      </c>
      <c r="J8" s="16">
        <v>0</v>
      </c>
      <c r="K8" s="16">
        <v>0</v>
      </c>
      <c r="L8" s="17">
        <f>SUM(I8:K8)*1.5</f>
        <v>0</v>
      </c>
      <c r="M8" s="17">
        <f>H8+L8</f>
        <v>425.64</v>
      </c>
      <c r="N8" s="16">
        <f>G8+M8</f>
        <v>749.69</v>
      </c>
      <c r="O8" s="16">
        <f>N8/2</f>
        <v>374.845</v>
      </c>
    </row>
    <row r="9" spans="1:15" ht="18.75">
      <c r="A9" s="15" t="s">
        <v>18</v>
      </c>
      <c r="B9" s="16">
        <f aca="true" t="shared" si="2" ref="B9:O9">B10+B11+B12+B13+B15</f>
        <v>843.9299999999998</v>
      </c>
      <c r="C9" s="16">
        <f t="shared" si="2"/>
        <v>0</v>
      </c>
      <c r="D9" s="16">
        <f t="shared" si="2"/>
        <v>1</v>
      </c>
      <c r="E9" s="16">
        <f t="shared" si="2"/>
        <v>0</v>
      </c>
      <c r="F9" s="16">
        <f t="shared" si="2"/>
        <v>1.5</v>
      </c>
      <c r="G9" s="16">
        <f t="shared" si="2"/>
        <v>845.4299999999998</v>
      </c>
      <c r="H9" s="16">
        <f t="shared" si="2"/>
        <v>989.69</v>
      </c>
      <c r="I9" s="16">
        <f t="shared" si="2"/>
        <v>0</v>
      </c>
      <c r="J9" s="16">
        <f t="shared" si="2"/>
        <v>0</v>
      </c>
      <c r="K9" s="16">
        <f t="shared" si="2"/>
        <v>0</v>
      </c>
      <c r="L9" s="16">
        <f t="shared" si="2"/>
        <v>0</v>
      </c>
      <c r="M9" s="16">
        <f t="shared" si="2"/>
        <v>989.69</v>
      </c>
      <c r="N9" s="16">
        <f t="shared" si="2"/>
        <v>1835.1200000000001</v>
      </c>
      <c r="O9" s="16">
        <f t="shared" si="2"/>
        <v>917.5600000000001</v>
      </c>
    </row>
    <row r="10" spans="1:15" ht="18.75">
      <c r="A10" s="18" t="s">
        <v>19</v>
      </c>
      <c r="B10" s="19">
        <v>794.8</v>
      </c>
      <c r="C10" s="19">
        <v>0</v>
      </c>
      <c r="D10" s="19">
        <v>0</v>
      </c>
      <c r="E10" s="19">
        <v>0</v>
      </c>
      <c r="F10" s="20">
        <f aca="true" t="shared" si="3" ref="F10:F15">SUM(C10:E10)*1.5</f>
        <v>0</v>
      </c>
      <c r="G10" s="21">
        <f aca="true" t="shared" si="4" ref="G10:G15">B10+F10</f>
        <v>794.8</v>
      </c>
      <c r="H10" s="19">
        <v>849.74</v>
      </c>
      <c r="I10" s="19">
        <v>0</v>
      </c>
      <c r="J10" s="19">
        <v>0</v>
      </c>
      <c r="K10" s="19">
        <v>0</v>
      </c>
      <c r="L10" s="20">
        <f aca="true" t="shared" si="5" ref="L10:L15">SUM(I10:K10)*1.5</f>
        <v>0</v>
      </c>
      <c r="M10" s="21">
        <f aca="true" t="shared" si="6" ref="M10:M15">H10+L10</f>
        <v>849.74</v>
      </c>
      <c r="N10" s="19">
        <f aca="true" t="shared" si="7" ref="N10:N15">G10+M10</f>
        <v>1644.54</v>
      </c>
      <c r="O10" s="19">
        <f aca="true" t="shared" si="8" ref="O10:O15">N10/2</f>
        <v>822.27</v>
      </c>
    </row>
    <row r="11" spans="1:15" ht="18.75">
      <c r="A11" s="18" t="s">
        <v>20</v>
      </c>
      <c r="B11" s="19">
        <v>9.17</v>
      </c>
      <c r="C11" s="19">
        <v>0</v>
      </c>
      <c r="D11" s="19">
        <v>0</v>
      </c>
      <c r="E11" s="19">
        <v>0</v>
      </c>
      <c r="F11" s="20">
        <f t="shared" si="3"/>
        <v>0</v>
      </c>
      <c r="G11" s="21">
        <f t="shared" si="4"/>
        <v>9.17</v>
      </c>
      <c r="H11" s="19">
        <v>0</v>
      </c>
      <c r="I11" s="19">
        <v>0</v>
      </c>
      <c r="J11" s="19">
        <v>0</v>
      </c>
      <c r="K11" s="19">
        <v>0</v>
      </c>
      <c r="L11" s="20">
        <f t="shared" si="5"/>
        <v>0</v>
      </c>
      <c r="M11" s="21">
        <f t="shared" si="6"/>
        <v>0</v>
      </c>
      <c r="N11" s="19">
        <f t="shared" si="7"/>
        <v>9.17</v>
      </c>
      <c r="O11" s="19">
        <f t="shared" si="8"/>
        <v>4.585</v>
      </c>
    </row>
    <row r="12" spans="1:15" ht="18.75">
      <c r="A12" s="18" t="s">
        <v>21</v>
      </c>
      <c r="B12" s="19">
        <v>19.8</v>
      </c>
      <c r="C12" s="19">
        <v>0</v>
      </c>
      <c r="D12" s="19">
        <v>0</v>
      </c>
      <c r="E12" s="19">
        <v>0</v>
      </c>
      <c r="F12" s="20">
        <f t="shared" si="3"/>
        <v>0</v>
      </c>
      <c r="G12" s="21">
        <f t="shared" si="4"/>
        <v>19.8</v>
      </c>
      <c r="H12" s="19">
        <v>139.95</v>
      </c>
      <c r="I12" s="19">
        <v>0</v>
      </c>
      <c r="J12" s="19">
        <v>0</v>
      </c>
      <c r="K12" s="19">
        <v>0</v>
      </c>
      <c r="L12" s="20">
        <f t="shared" si="5"/>
        <v>0</v>
      </c>
      <c r="M12" s="21">
        <f t="shared" si="6"/>
        <v>139.95</v>
      </c>
      <c r="N12" s="19">
        <f t="shared" si="7"/>
        <v>159.75</v>
      </c>
      <c r="O12" s="19">
        <f t="shared" si="8"/>
        <v>79.875</v>
      </c>
    </row>
    <row r="13" spans="1:15" ht="18.75">
      <c r="A13" s="18" t="s">
        <v>22</v>
      </c>
      <c r="B13" s="19">
        <v>0</v>
      </c>
      <c r="C13" s="19">
        <v>0</v>
      </c>
      <c r="D13" s="19">
        <v>1</v>
      </c>
      <c r="E13" s="19">
        <v>0</v>
      </c>
      <c r="F13" s="20">
        <f t="shared" si="3"/>
        <v>1.5</v>
      </c>
      <c r="G13" s="21">
        <f t="shared" si="4"/>
        <v>1.5</v>
      </c>
      <c r="H13" s="19">
        <v>0</v>
      </c>
      <c r="I13" s="19">
        <v>0</v>
      </c>
      <c r="J13" s="19">
        <v>0</v>
      </c>
      <c r="K13" s="19">
        <v>0</v>
      </c>
      <c r="L13" s="20">
        <f t="shared" si="5"/>
        <v>0</v>
      </c>
      <c r="M13" s="21">
        <f t="shared" si="6"/>
        <v>0</v>
      </c>
      <c r="N13" s="19">
        <f t="shared" si="7"/>
        <v>1.5</v>
      </c>
      <c r="O13" s="19">
        <f t="shared" si="8"/>
        <v>0.75</v>
      </c>
    </row>
    <row r="14" spans="1:15" ht="18.75">
      <c r="A14" s="22" t="s">
        <v>23</v>
      </c>
      <c r="B14" s="23">
        <v>0</v>
      </c>
      <c r="C14" s="23">
        <v>0</v>
      </c>
      <c r="D14" s="23">
        <v>3</v>
      </c>
      <c r="E14" s="23">
        <v>0</v>
      </c>
      <c r="F14" s="24">
        <f t="shared" si="3"/>
        <v>4.5</v>
      </c>
      <c r="G14" s="24">
        <f t="shared" si="4"/>
        <v>4.5</v>
      </c>
      <c r="H14" s="23">
        <v>0</v>
      </c>
      <c r="I14" s="23">
        <v>0</v>
      </c>
      <c r="J14" s="23">
        <v>0</v>
      </c>
      <c r="K14" s="23">
        <v>0</v>
      </c>
      <c r="L14" s="24">
        <f t="shared" si="5"/>
        <v>0</v>
      </c>
      <c r="M14" s="24">
        <f t="shared" si="6"/>
        <v>0</v>
      </c>
      <c r="N14" s="23">
        <f t="shared" si="7"/>
        <v>4.5</v>
      </c>
      <c r="O14" s="23">
        <f t="shared" si="8"/>
        <v>2.25</v>
      </c>
    </row>
    <row r="15" spans="1:15" ht="18.75">
      <c r="A15" s="25" t="s">
        <v>24</v>
      </c>
      <c r="B15" s="26">
        <v>20.16</v>
      </c>
      <c r="C15" s="26">
        <v>0</v>
      </c>
      <c r="D15" s="26">
        <v>0</v>
      </c>
      <c r="E15" s="26">
        <v>0</v>
      </c>
      <c r="F15" s="20">
        <f t="shared" si="3"/>
        <v>0</v>
      </c>
      <c r="G15" s="20">
        <f t="shared" si="4"/>
        <v>20.16</v>
      </c>
      <c r="H15" s="26">
        <v>0</v>
      </c>
      <c r="I15" s="26">
        <v>0</v>
      </c>
      <c r="J15" s="26">
        <v>0</v>
      </c>
      <c r="K15" s="26">
        <v>0</v>
      </c>
      <c r="L15" s="20">
        <f t="shared" si="5"/>
        <v>0</v>
      </c>
      <c r="M15" s="20">
        <f t="shared" si="6"/>
        <v>0</v>
      </c>
      <c r="N15" s="26">
        <f t="shared" si="7"/>
        <v>20.16</v>
      </c>
      <c r="O15" s="26">
        <f t="shared" si="8"/>
        <v>10.08</v>
      </c>
    </row>
    <row r="16" spans="1:15" ht="18.75">
      <c r="A16" s="27" t="s">
        <v>25</v>
      </c>
      <c r="B16" s="28">
        <f>B17+B18+B28+B32+B37+B42+B52</f>
        <v>1502.02</v>
      </c>
      <c r="C16" s="28">
        <f aca="true" t="shared" si="9" ref="C16:O16">C17+C18+C28+C32+C37+C42+C52</f>
        <v>12.5</v>
      </c>
      <c r="D16" s="28">
        <f t="shared" si="9"/>
        <v>34.92</v>
      </c>
      <c r="E16" s="28">
        <f t="shared" si="9"/>
        <v>0</v>
      </c>
      <c r="F16" s="28">
        <f t="shared" si="9"/>
        <v>71.13</v>
      </c>
      <c r="G16" s="28">
        <f t="shared" si="9"/>
        <v>1573.15</v>
      </c>
      <c r="H16" s="28">
        <f t="shared" si="9"/>
        <v>1708.69</v>
      </c>
      <c r="I16" s="28">
        <f t="shared" si="9"/>
        <v>79.25</v>
      </c>
      <c r="J16" s="28">
        <f t="shared" si="9"/>
        <v>73.75</v>
      </c>
      <c r="K16" s="28">
        <f t="shared" si="9"/>
        <v>0</v>
      </c>
      <c r="L16" s="28">
        <f t="shared" si="9"/>
        <v>229.5</v>
      </c>
      <c r="M16" s="28">
        <f t="shared" si="9"/>
        <v>1938.19</v>
      </c>
      <c r="N16" s="28">
        <f t="shared" si="9"/>
        <v>3511.34</v>
      </c>
      <c r="O16" s="28">
        <f t="shared" si="9"/>
        <v>1755.67</v>
      </c>
    </row>
    <row r="17" spans="1:15" ht="18.75">
      <c r="A17" s="15" t="s">
        <v>26</v>
      </c>
      <c r="B17" s="16">
        <v>91.72</v>
      </c>
      <c r="C17" s="16">
        <v>0</v>
      </c>
      <c r="D17" s="16">
        <v>0</v>
      </c>
      <c r="E17" s="16">
        <v>0</v>
      </c>
      <c r="F17" s="29">
        <f>SUM(C17:E17)*1.5</f>
        <v>0</v>
      </c>
      <c r="G17" s="16">
        <f>B17+F17</f>
        <v>91.72</v>
      </c>
      <c r="H17" s="16">
        <v>46.17</v>
      </c>
      <c r="I17" s="16">
        <v>0</v>
      </c>
      <c r="J17" s="16">
        <v>10</v>
      </c>
      <c r="K17" s="16">
        <v>0</v>
      </c>
      <c r="L17" s="29">
        <f>SUM(I17:K17)*1.5</f>
        <v>15</v>
      </c>
      <c r="M17" s="16">
        <f>H17+L17</f>
        <v>61.17</v>
      </c>
      <c r="N17" s="16">
        <f>G17+M17</f>
        <v>152.89</v>
      </c>
      <c r="O17" s="16">
        <f>N17/2</f>
        <v>76.445</v>
      </c>
    </row>
    <row r="18" spans="1:15" ht="18.75">
      <c r="A18" s="15" t="s">
        <v>27</v>
      </c>
      <c r="B18" s="17">
        <f aca="true" t="shared" si="10" ref="B18:O18">B19+B21+B22+B23</f>
        <v>278.15</v>
      </c>
      <c r="C18" s="17">
        <f t="shared" si="10"/>
        <v>12.5</v>
      </c>
      <c r="D18" s="17">
        <f t="shared" si="10"/>
        <v>6.25</v>
      </c>
      <c r="E18" s="17">
        <f t="shared" si="10"/>
        <v>0</v>
      </c>
      <c r="F18" s="17">
        <f t="shared" si="10"/>
        <v>28.125</v>
      </c>
      <c r="G18" s="17">
        <f t="shared" si="10"/>
        <v>306.275</v>
      </c>
      <c r="H18" s="17">
        <f t="shared" si="10"/>
        <v>547.23</v>
      </c>
      <c r="I18" s="17">
        <f t="shared" si="10"/>
        <v>16.25</v>
      </c>
      <c r="J18" s="17">
        <f t="shared" si="10"/>
        <v>3.25</v>
      </c>
      <c r="K18" s="17">
        <f t="shared" si="10"/>
        <v>0</v>
      </c>
      <c r="L18" s="17">
        <f t="shared" si="10"/>
        <v>29.25</v>
      </c>
      <c r="M18" s="17">
        <f t="shared" si="10"/>
        <v>576.48</v>
      </c>
      <c r="N18" s="17">
        <f t="shared" si="10"/>
        <v>882.755</v>
      </c>
      <c r="O18" s="17">
        <f t="shared" si="10"/>
        <v>441.3775</v>
      </c>
    </row>
    <row r="19" spans="1:15" ht="18.75">
      <c r="A19" s="18" t="s">
        <v>28</v>
      </c>
      <c r="B19" s="19">
        <v>0</v>
      </c>
      <c r="C19" s="19">
        <v>0</v>
      </c>
      <c r="D19" s="19">
        <v>3</v>
      </c>
      <c r="E19" s="19">
        <v>0</v>
      </c>
      <c r="F19" s="21">
        <f>SUM(C19:E19)*1.5</f>
        <v>4.5</v>
      </c>
      <c r="G19" s="30">
        <f>B19+F19</f>
        <v>4.5</v>
      </c>
      <c r="H19" s="19">
        <v>0</v>
      </c>
      <c r="I19" s="19">
        <v>0</v>
      </c>
      <c r="J19" s="19">
        <v>3</v>
      </c>
      <c r="K19" s="19">
        <v>0</v>
      </c>
      <c r="L19" s="21">
        <f>SUM(I19:K19)*1.5</f>
        <v>4.5</v>
      </c>
      <c r="M19" s="30">
        <f>H19+L19</f>
        <v>4.5</v>
      </c>
      <c r="N19" s="19">
        <f>G19+M19</f>
        <v>9</v>
      </c>
      <c r="O19" s="19">
        <f>N19/2</f>
        <v>4.5</v>
      </c>
    </row>
    <row r="20" spans="1:15" ht="18.75">
      <c r="A20" s="22" t="s">
        <v>23</v>
      </c>
      <c r="B20" s="23">
        <v>0</v>
      </c>
      <c r="C20" s="23">
        <v>0</v>
      </c>
      <c r="D20" s="23">
        <v>1</v>
      </c>
      <c r="E20" s="23">
        <v>0</v>
      </c>
      <c r="F20" s="24">
        <f>SUM(C20:E20)*1.5</f>
        <v>1.5</v>
      </c>
      <c r="G20" s="31">
        <f>B20+F20</f>
        <v>1.5</v>
      </c>
      <c r="H20" s="23">
        <v>0</v>
      </c>
      <c r="I20" s="23">
        <v>0</v>
      </c>
      <c r="J20" s="23">
        <v>1.5</v>
      </c>
      <c r="K20" s="23">
        <v>0</v>
      </c>
      <c r="L20" s="24">
        <f>SUM(I20:K20)*1.5</f>
        <v>2.25</v>
      </c>
      <c r="M20" s="31">
        <f>H20+L20</f>
        <v>2.25</v>
      </c>
      <c r="N20" s="23">
        <f>G20+M20</f>
        <v>3.75</v>
      </c>
      <c r="O20" s="23">
        <f>N20/2</f>
        <v>1.875</v>
      </c>
    </row>
    <row r="21" spans="1:15" ht="18.75">
      <c r="A21" s="32" t="s">
        <v>29</v>
      </c>
      <c r="B21" s="33">
        <v>152.33</v>
      </c>
      <c r="C21" s="33">
        <v>12.5</v>
      </c>
      <c r="D21" s="33">
        <v>3.25</v>
      </c>
      <c r="E21" s="33">
        <v>0</v>
      </c>
      <c r="F21" s="34">
        <f>SUM(C21:E21)*1.5</f>
        <v>23.625</v>
      </c>
      <c r="G21" s="35">
        <f>B21+F21</f>
        <v>175.955</v>
      </c>
      <c r="H21" s="33">
        <v>445.67</v>
      </c>
      <c r="I21" s="33">
        <v>16.25</v>
      </c>
      <c r="J21" s="33">
        <v>0.25</v>
      </c>
      <c r="K21" s="33">
        <v>0</v>
      </c>
      <c r="L21" s="34">
        <f>SUM(I21:K21)*1.5</f>
        <v>24.75</v>
      </c>
      <c r="M21" s="35">
        <f>H21+L21</f>
        <v>470.42</v>
      </c>
      <c r="N21" s="33">
        <f>G21+M21</f>
        <v>646.375</v>
      </c>
      <c r="O21" s="33">
        <f>N21/2</f>
        <v>323.1875</v>
      </c>
    </row>
    <row r="22" spans="1:15" ht="18.75">
      <c r="A22" s="32" t="s">
        <v>30</v>
      </c>
      <c r="B22" s="33">
        <v>31.17</v>
      </c>
      <c r="C22" s="33">
        <v>0</v>
      </c>
      <c r="D22" s="33">
        <v>0</v>
      </c>
      <c r="E22" s="33">
        <v>0</v>
      </c>
      <c r="F22" s="34">
        <f>SUM(C22:E22)*1.5</f>
        <v>0</v>
      </c>
      <c r="G22" s="35">
        <f>B22+F22</f>
        <v>31.17</v>
      </c>
      <c r="H22" s="33">
        <v>0</v>
      </c>
      <c r="I22" s="33">
        <v>0</v>
      </c>
      <c r="J22" s="33">
        <v>0</v>
      </c>
      <c r="K22" s="33">
        <v>0</v>
      </c>
      <c r="L22" s="34">
        <f>SUM(I22:K22)*1.5</f>
        <v>0</v>
      </c>
      <c r="M22" s="35">
        <f>H22+L22</f>
        <v>0</v>
      </c>
      <c r="N22" s="33">
        <f>G22+M22</f>
        <v>31.17</v>
      </c>
      <c r="O22" s="33">
        <f>N22/2</f>
        <v>15.585</v>
      </c>
    </row>
    <row r="23" spans="1:15" ht="18.75">
      <c r="A23" s="36" t="s">
        <v>31</v>
      </c>
      <c r="B23" s="37">
        <v>94.65</v>
      </c>
      <c r="C23" s="37">
        <v>0</v>
      </c>
      <c r="D23" s="37">
        <v>0</v>
      </c>
      <c r="E23" s="37">
        <v>0</v>
      </c>
      <c r="F23" s="38">
        <f>SUM(C23:E23)*1.5</f>
        <v>0</v>
      </c>
      <c r="G23" s="39">
        <f>B23+F23</f>
        <v>94.65</v>
      </c>
      <c r="H23" s="37">
        <v>101.56</v>
      </c>
      <c r="I23" s="37">
        <v>0</v>
      </c>
      <c r="J23" s="37">
        <v>0</v>
      </c>
      <c r="K23" s="37">
        <v>0</v>
      </c>
      <c r="L23" s="38">
        <f>SUM(I23:K23)*1.5</f>
        <v>0</v>
      </c>
      <c r="M23" s="39">
        <f>H23+L23</f>
        <v>101.56</v>
      </c>
      <c r="N23" s="40">
        <f>G23+M23</f>
        <v>196.21</v>
      </c>
      <c r="O23" s="37">
        <f>N23/2</f>
        <v>98.105</v>
      </c>
    </row>
    <row r="24" spans="1:15" ht="18.75">
      <c r="A24" s="563" t="s">
        <v>0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</row>
    <row r="25" spans="1:15" ht="18.75">
      <c r="A25" s="2"/>
      <c r="B25" s="564" t="s">
        <v>1</v>
      </c>
      <c r="C25" s="564"/>
      <c r="D25" s="564"/>
      <c r="E25" s="564"/>
      <c r="F25" s="564"/>
      <c r="G25" s="565"/>
      <c r="H25" s="564" t="s">
        <v>2</v>
      </c>
      <c r="I25" s="564"/>
      <c r="J25" s="564"/>
      <c r="K25" s="564"/>
      <c r="L25" s="564"/>
      <c r="M25" s="565"/>
      <c r="N25" s="3" t="s">
        <v>3</v>
      </c>
      <c r="O25" s="4"/>
    </row>
    <row r="26" spans="1:15" ht="18.75">
      <c r="A26" s="5" t="s">
        <v>4</v>
      </c>
      <c r="B26" s="566" t="s">
        <v>5</v>
      </c>
      <c r="C26" s="564"/>
      <c r="D26" s="564"/>
      <c r="E26" s="564"/>
      <c r="F26" s="565"/>
      <c r="G26" s="5" t="s">
        <v>3</v>
      </c>
      <c r="H26" s="566" t="s">
        <v>5</v>
      </c>
      <c r="I26" s="564"/>
      <c r="J26" s="564"/>
      <c r="K26" s="564"/>
      <c r="L26" s="565"/>
      <c r="M26" s="5" t="s">
        <v>3</v>
      </c>
      <c r="N26" s="6" t="s">
        <v>6</v>
      </c>
      <c r="O26" s="6" t="s">
        <v>7</v>
      </c>
    </row>
    <row r="27" spans="1:15" ht="18.75">
      <c r="A27" s="7"/>
      <c r="B27" s="8" t="s">
        <v>8</v>
      </c>
      <c r="C27" s="8" t="s">
        <v>9</v>
      </c>
      <c r="D27" s="8" t="s">
        <v>10</v>
      </c>
      <c r="E27" s="8" t="s">
        <v>11</v>
      </c>
      <c r="F27" s="8" t="s">
        <v>12</v>
      </c>
      <c r="G27" s="8" t="s">
        <v>13</v>
      </c>
      <c r="H27" s="8" t="s">
        <v>8</v>
      </c>
      <c r="I27" s="8" t="s">
        <v>9</v>
      </c>
      <c r="J27" s="8" t="s">
        <v>10</v>
      </c>
      <c r="K27" s="8" t="s">
        <v>11</v>
      </c>
      <c r="L27" s="8" t="s">
        <v>12</v>
      </c>
      <c r="M27" s="8" t="s">
        <v>13</v>
      </c>
      <c r="N27" s="9"/>
      <c r="O27" s="10"/>
    </row>
    <row r="28" spans="1:15" ht="18.75">
      <c r="A28" s="41" t="s">
        <v>32</v>
      </c>
      <c r="B28" s="42">
        <f aca="true" t="shared" si="11" ref="B28:O28">B29+B31</f>
        <v>159.59</v>
      </c>
      <c r="C28" s="42">
        <f t="shared" si="11"/>
        <v>0</v>
      </c>
      <c r="D28" s="42">
        <f t="shared" si="11"/>
        <v>0</v>
      </c>
      <c r="E28" s="42">
        <f t="shared" si="11"/>
        <v>0</v>
      </c>
      <c r="F28" s="42">
        <f t="shared" si="11"/>
        <v>0</v>
      </c>
      <c r="G28" s="42">
        <f t="shared" si="11"/>
        <v>159.59</v>
      </c>
      <c r="H28" s="42">
        <f t="shared" si="11"/>
        <v>261.9</v>
      </c>
      <c r="I28" s="42">
        <f t="shared" si="11"/>
        <v>0</v>
      </c>
      <c r="J28" s="42">
        <f t="shared" si="11"/>
        <v>0</v>
      </c>
      <c r="K28" s="42">
        <f t="shared" si="11"/>
        <v>0</v>
      </c>
      <c r="L28" s="42">
        <f t="shared" si="11"/>
        <v>0</v>
      </c>
      <c r="M28" s="42">
        <f t="shared" si="11"/>
        <v>261.9</v>
      </c>
      <c r="N28" s="42">
        <f t="shared" si="11"/>
        <v>421.49</v>
      </c>
      <c r="O28" s="42">
        <f t="shared" si="11"/>
        <v>210.745</v>
      </c>
    </row>
    <row r="29" spans="1:15" ht="18.75">
      <c r="A29" s="18" t="s">
        <v>33</v>
      </c>
      <c r="B29" s="19">
        <v>137.59</v>
      </c>
      <c r="C29" s="19">
        <v>0</v>
      </c>
      <c r="D29" s="19">
        <v>0</v>
      </c>
      <c r="E29" s="19">
        <v>0</v>
      </c>
      <c r="F29" s="21">
        <f>SUM(C29:E29)*1.5</f>
        <v>0</v>
      </c>
      <c r="G29" s="30">
        <f>B29+F29</f>
        <v>137.59</v>
      </c>
      <c r="H29" s="19">
        <v>182.68</v>
      </c>
      <c r="I29" s="19">
        <v>0</v>
      </c>
      <c r="J29" s="19">
        <v>0</v>
      </c>
      <c r="K29" s="19">
        <v>0</v>
      </c>
      <c r="L29" s="21">
        <f>SUM(I29:K29)*1.5</f>
        <v>0</v>
      </c>
      <c r="M29" s="30">
        <f>H29+L29</f>
        <v>182.68</v>
      </c>
      <c r="N29" s="19">
        <f>G29+M29</f>
        <v>320.27</v>
      </c>
      <c r="O29" s="19">
        <f>N29/2</f>
        <v>160.135</v>
      </c>
    </row>
    <row r="30" spans="1:15" ht="18.75">
      <c r="A30" s="22" t="s">
        <v>23</v>
      </c>
      <c r="B30" s="23">
        <v>0</v>
      </c>
      <c r="C30" s="23">
        <v>0</v>
      </c>
      <c r="D30" s="23">
        <v>0.75</v>
      </c>
      <c r="E30" s="23">
        <v>0</v>
      </c>
      <c r="F30" s="24">
        <f>SUM(C30:E30)*1.5</f>
        <v>1.125</v>
      </c>
      <c r="G30" s="31">
        <f>B30+F30</f>
        <v>1.125</v>
      </c>
      <c r="H30" s="23">
        <v>0</v>
      </c>
      <c r="I30" s="23">
        <v>0</v>
      </c>
      <c r="J30" s="23"/>
      <c r="K30" s="23">
        <v>0</v>
      </c>
      <c r="L30" s="24">
        <f>SUM(I30:K30)*1.5</f>
        <v>0</v>
      </c>
      <c r="M30" s="31">
        <f>H30+L30</f>
        <v>0</v>
      </c>
      <c r="N30" s="23">
        <f>G30+M30</f>
        <v>1.125</v>
      </c>
      <c r="O30" s="23">
        <f>N30/2</f>
        <v>0.5625</v>
      </c>
    </row>
    <row r="31" spans="1:15" ht="18.75">
      <c r="A31" s="32" t="s">
        <v>34</v>
      </c>
      <c r="B31" s="33">
        <v>22</v>
      </c>
      <c r="C31" s="33">
        <v>0</v>
      </c>
      <c r="D31" s="33">
        <v>0</v>
      </c>
      <c r="E31" s="33">
        <v>0</v>
      </c>
      <c r="F31" s="34">
        <f>SUM(C31:E31)*1.5</f>
        <v>0</v>
      </c>
      <c r="G31" s="35">
        <f>B31+F31</f>
        <v>22</v>
      </c>
      <c r="H31" s="33">
        <v>79.22</v>
      </c>
      <c r="I31" s="33">
        <v>0</v>
      </c>
      <c r="J31" s="33">
        <v>0</v>
      </c>
      <c r="K31" s="33">
        <v>0</v>
      </c>
      <c r="L31" s="34">
        <f>SUM(I31:K31)*1.5</f>
        <v>0</v>
      </c>
      <c r="M31" s="35">
        <f>H31+L31</f>
        <v>79.22</v>
      </c>
      <c r="N31" s="33">
        <f>G31+M31</f>
        <v>101.22</v>
      </c>
      <c r="O31" s="33">
        <f>N31/2</f>
        <v>50.61</v>
      </c>
    </row>
    <row r="32" spans="1:15" ht="18.75">
      <c r="A32" s="15" t="s">
        <v>35</v>
      </c>
      <c r="B32" s="17">
        <f aca="true" t="shared" si="12" ref="B32:O32">B33+B35+B36</f>
        <v>294.24</v>
      </c>
      <c r="C32" s="17">
        <f t="shared" si="12"/>
        <v>0</v>
      </c>
      <c r="D32" s="17">
        <f t="shared" si="12"/>
        <v>9.75</v>
      </c>
      <c r="E32" s="17">
        <f t="shared" si="12"/>
        <v>0</v>
      </c>
      <c r="F32" s="17">
        <f t="shared" si="12"/>
        <v>14.625</v>
      </c>
      <c r="G32" s="17">
        <f t="shared" si="12"/>
        <v>308.865</v>
      </c>
      <c r="H32" s="17">
        <f t="shared" si="12"/>
        <v>231.69</v>
      </c>
      <c r="I32" s="17">
        <f t="shared" si="12"/>
        <v>15.75</v>
      </c>
      <c r="J32" s="17">
        <f t="shared" si="12"/>
        <v>14.5</v>
      </c>
      <c r="K32" s="17">
        <f t="shared" si="12"/>
        <v>0</v>
      </c>
      <c r="L32" s="17">
        <f t="shared" si="12"/>
        <v>45.375</v>
      </c>
      <c r="M32" s="17">
        <f t="shared" si="12"/>
        <v>277.065</v>
      </c>
      <c r="N32" s="17">
        <f t="shared" si="12"/>
        <v>585.93</v>
      </c>
      <c r="O32" s="17">
        <f t="shared" si="12"/>
        <v>292.965</v>
      </c>
    </row>
    <row r="33" spans="1:15" ht="18.75">
      <c r="A33" s="18" t="s">
        <v>36</v>
      </c>
      <c r="B33" s="19">
        <v>126.51</v>
      </c>
      <c r="C33" s="19">
        <v>0</v>
      </c>
      <c r="D33" s="19">
        <v>9.75</v>
      </c>
      <c r="E33" s="19">
        <v>0</v>
      </c>
      <c r="F33" s="21">
        <f>SUM(C33:E33)*1.5</f>
        <v>14.625</v>
      </c>
      <c r="G33" s="30">
        <f>B33+F33</f>
        <v>141.135</v>
      </c>
      <c r="H33" s="19">
        <v>63.79</v>
      </c>
      <c r="I33" s="19">
        <v>0</v>
      </c>
      <c r="J33" s="19">
        <v>13</v>
      </c>
      <c r="K33" s="19">
        <v>0</v>
      </c>
      <c r="L33" s="21">
        <f>SUM(I33:K33)*1.5</f>
        <v>19.5</v>
      </c>
      <c r="M33" s="30">
        <f>H33+L33</f>
        <v>83.28999999999999</v>
      </c>
      <c r="N33" s="19">
        <f>G33+M33</f>
        <v>224.42499999999998</v>
      </c>
      <c r="O33" s="19">
        <f>N33/2</f>
        <v>112.21249999999999</v>
      </c>
    </row>
    <row r="34" spans="1:15" ht="18.75">
      <c r="A34" s="22" t="s">
        <v>23</v>
      </c>
      <c r="B34" s="23">
        <v>0</v>
      </c>
      <c r="C34" s="23">
        <v>0</v>
      </c>
      <c r="D34" s="23">
        <v>3</v>
      </c>
      <c r="E34" s="23">
        <v>0</v>
      </c>
      <c r="F34" s="24">
        <f>SUM(C34:E34)*1.5</f>
        <v>4.5</v>
      </c>
      <c r="G34" s="31">
        <f>B34+F34</f>
        <v>4.5</v>
      </c>
      <c r="H34" s="23">
        <v>0</v>
      </c>
      <c r="I34" s="23">
        <v>0</v>
      </c>
      <c r="J34" s="23">
        <v>5.5</v>
      </c>
      <c r="K34" s="23">
        <v>0</v>
      </c>
      <c r="L34" s="24">
        <f>SUM(I34:K34)*1.5</f>
        <v>8.25</v>
      </c>
      <c r="M34" s="31">
        <f>H34+L34</f>
        <v>8.25</v>
      </c>
      <c r="N34" s="23">
        <f>G34+M34</f>
        <v>12.75</v>
      </c>
      <c r="O34" s="23">
        <f>N34/2</f>
        <v>6.375</v>
      </c>
    </row>
    <row r="35" spans="1:15" ht="18.75">
      <c r="A35" s="32" t="s">
        <v>34</v>
      </c>
      <c r="B35" s="33">
        <v>116.61</v>
      </c>
      <c r="C35" s="33">
        <v>0</v>
      </c>
      <c r="D35" s="33">
        <v>0</v>
      </c>
      <c r="E35" s="33">
        <v>0</v>
      </c>
      <c r="F35" s="34">
        <f>SUM(C35:E35)*1.5</f>
        <v>0</v>
      </c>
      <c r="G35" s="35">
        <f>B35+F35</f>
        <v>116.61</v>
      </c>
      <c r="H35" s="33">
        <v>75.17</v>
      </c>
      <c r="I35" s="33">
        <v>15.75</v>
      </c>
      <c r="J35" s="33">
        <v>1.5</v>
      </c>
      <c r="K35" s="33">
        <v>0</v>
      </c>
      <c r="L35" s="34">
        <f>SUM(I35:K35)*1.5</f>
        <v>25.875</v>
      </c>
      <c r="M35" s="35">
        <f>H35+L35</f>
        <v>101.045</v>
      </c>
      <c r="N35" s="33">
        <f>G35+M35</f>
        <v>217.655</v>
      </c>
      <c r="O35" s="33">
        <f>N35/2</f>
        <v>108.8275</v>
      </c>
    </row>
    <row r="36" spans="1:15" ht="18.75">
      <c r="A36" s="18" t="s">
        <v>37</v>
      </c>
      <c r="B36" s="19">
        <v>51.12</v>
      </c>
      <c r="C36" s="19">
        <v>0</v>
      </c>
      <c r="D36" s="19">
        <v>0</v>
      </c>
      <c r="E36" s="19">
        <v>0</v>
      </c>
      <c r="F36" s="21">
        <f>SUM(C36:E36)*1.5</f>
        <v>0</v>
      </c>
      <c r="G36" s="30">
        <f>B36+F36</f>
        <v>51.12</v>
      </c>
      <c r="H36" s="19">
        <v>92.73</v>
      </c>
      <c r="I36" s="19">
        <v>0</v>
      </c>
      <c r="J36" s="19">
        <v>0</v>
      </c>
      <c r="K36" s="19">
        <v>0</v>
      </c>
      <c r="L36" s="21">
        <f>SUM(I36:K36)*1.5</f>
        <v>0</v>
      </c>
      <c r="M36" s="30">
        <f>H36+L36</f>
        <v>92.73</v>
      </c>
      <c r="N36" s="19">
        <f>G36+M36</f>
        <v>143.85</v>
      </c>
      <c r="O36" s="19">
        <f>N36/2</f>
        <v>71.925</v>
      </c>
    </row>
    <row r="37" spans="1:15" ht="18.75">
      <c r="A37" s="15" t="s">
        <v>38</v>
      </c>
      <c r="B37" s="17">
        <f aca="true" t="shared" si="13" ref="B37:O37">SUM(B38:B40)</f>
        <v>275.76</v>
      </c>
      <c r="C37" s="17">
        <f t="shared" si="13"/>
        <v>0</v>
      </c>
      <c r="D37" s="17">
        <f t="shared" si="13"/>
        <v>6.25</v>
      </c>
      <c r="E37" s="17">
        <f t="shared" si="13"/>
        <v>0</v>
      </c>
      <c r="F37" s="17">
        <f t="shared" si="13"/>
        <v>9.375</v>
      </c>
      <c r="G37" s="17">
        <f t="shared" si="13"/>
        <v>285.135</v>
      </c>
      <c r="H37" s="17">
        <f t="shared" si="13"/>
        <v>270.18</v>
      </c>
      <c r="I37" s="17">
        <f t="shared" si="13"/>
        <v>15.75</v>
      </c>
      <c r="J37" s="17">
        <f t="shared" si="13"/>
        <v>17.25</v>
      </c>
      <c r="K37" s="17">
        <f t="shared" si="13"/>
        <v>0</v>
      </c>
      <c r="L37" s="17">
        <f t="shared" si="13"/>
        <v>49.5</v>
      </c>
      <c r="M37" s="17">
        <f t="shared" si="13"/>
        <v>319.68</v>
      </c>
      <c r="N37" s="17">
        <f t="shared" si="13"/>
        <v>604.815</v>
      </c>
      <c r="O37" s="17">
        <f t="shared" si="13"/>
        <v>302.4075</v>
      </c>
    </row>
    <row r="38" spans="1:15" ht="18.75">
      <c r="A38" s="18" t="s">
        <v>39</v>
      </c>
      <c r="B38" s="19">
        <v>108.15</v>
      </c>
      <c r="C38" s="19">
        <v>0</v>
      </c>
      <c r="D38" s="19">
        <v>0.25</v>
      </c>
      <c r="E38" s="19">
        <v>0</v>
      </c>
      <c r="F38" s="43">
        <f>SUM(C38:E38)*1.5</f>
        <v>0.375</v>
      </c>
      <c r="G38" s="30">
        <f>B38+F38</f>
        <v>108.525</v>
      </c>
      <c r="H38" s="19">
        <v>159.68</v>
      </c>
      <c r="I38" s="19">
        <v>0</v>
      </c>
      <c r="J38" s="19">
        <v>4.5</v>
      </c>
      <c r="K38" s="19">
        <v>0</v>
      </c>
      <c r="L38" s="43">
        <f>SUM(I38:K38)*1.5</f>
        <v>6.75</v>
      </c>
      <c r="M38" s="30">
        <f>H38+L38</f>
        <v>166.43</v>
      </c>
      <c r="N38" s="19">
        <f>G38+M38</f>
        <v>274.95500000000004</v>
      </c>
      <c r="O38" s="19">
        <f>N38/2</f>
        <v>137.47750000000002</v>
      </c>
    </row>
    <row r="39" spans="1:15" ht="18.75">
      <c r="A39" s="32" t="s">
        <v>29</v>
      </c>
      <c r="B39" s="44">
        <v>167.61</v>
      </c>
      <c r="C39" s="44">
        <v>0</v>
      </c>
      <c r="D39" s="44">
        <v>0</v>
      </c>
      <c r="E39" s="44">
        <v>0</v>
      </c>
      <c r="F39" s="45">
        <f>SUM(C39:E39)*1.5</f>
        <v>0</v>
      </c>
      <c r="G39" s="35">
        <f>B39+F39</f>
        <v>167.61</v>
      </c>
      <c r="H39" s="44">
        <v>110.5</v>
      </c>
      <c r="I39" s="44">
        <v>15.75</v>
      </c>
      <c r="J39" s="44">
        <v>0</v>
      </c>
      <c r="K39" s="44">
        <v>0</v>
      </c>
      <c r="L39" s="45">
        <f>SUM(I39:K39)*1.5</f>
        <v>23.625</v>
      </c>
      <c r="M39" s="35">
        <f>H39+L39</f>
        <v>134.125</v>
      </c>
      <c r="N39" s="33">
        <f>G39+M39</f>
        <v>301.735</v>
      </c>
      <c r="O39" s="33">
        <f>N39/2</f>
        <v>150.8675</v>
      </c>
    </row>
    <row r="40" spans="1:15" ht="18.75">
      <c r="A40" s="18" t="s">
        <v>40</v>
      </c>
      <c r="B40" s="46">
        <v>0</v>
      </c>
      <c r="C40" s="46">
        <v>0</v>
      </c>
      <c r="D40" s="46">
        <v>6</v>
      </c>
      <c r="E40" s="46">
        <v>0</v>
      </c>
      <c r="F40" s="43">
        <f>SUM(C40:E40)*1.5</f>
        <v>9</v>
      </c>
      <c r="G40" s="30">
        <f>B40+F40</f>
        <v>9</v>
      </c>
      <c r="H40" s="46">
        <v>0</v>
      </c>
      <c r="I40" s="46">
        <v>0</v>
      </c>
      <c r="J40" s="46">
        <v>12.75</v>
      </c>
      <c r="K40" s="46">
        <v>0</v>
      </c>
      <c r="L40" s="43">
        <f>SUM(I40:K40)*1.5</f>
        <v>19.125</v>
      </c>
      <c r="M40" s="30">
        <f>H40+L40</f>
        <v>19.125</v>
      </c>
      <c r="N40" s="19">
        <f>G40+M40</f>
        <v>28.125</v>
      </c>
      <c r="O40" s="19">
        <f>N40/2</f>
        <v>14.0625</v>
      </c>
    </row>
    <row r="41" spans="1:15" ht="18.75">
      <c r="A41" s="22" t="s">
        <v>23</v>
      </c>
      <c r="B41" s="47">
        <v>0</v>
      </c>
      <c r="C41" s="48">
        <v>0</v>
      </c>
      <c r="D41" s="48">
        <v>0.5</v>
      </c>
      <c r="E41" s="48">
        <v>0</v>
      </c>
      <c r="F41" s="49">
        <f>SUM(C41:E41)*1.5</f>
        <v>0.75</v>
      </c>
      <c r="G41" s="50">
        <f>B41+F41</f>
        <v>0.75</v>
      </c>
      <c r="H41" s="47">
        <v>0</v>
      </c>
      <c r="I41" s="48">
        <v>0</v>
      </c>
      <c r="J41" s="48"/>
      <c r="K41" s="48">
        <v>0</v>
      </c>
      <c r="L41" s="49">
        <f>SUM(I41:K41)*1.5</f>
        <v>0</v>
      </c>
      <c r="M41" s="50">
        <f>H41+L41</f>
        <v>0</v>
      </c>
      <c r="N41" s="48">
        <f>G41+M41</f>
        <v>0.75</v>
      </c>
      <c r="O41" s="23">
        <f>N41/2</f>
        <v>0.375</v>
      </c>
    </row>
    <row r="42" spans="1:15" ht="18.75">
      <c r="A42" s="15" t="s">
        <v>41</v>
      </c>
      <c r="B42" s="51">
        <f>SUM(B43:B46)</f>
        <v>144.16</v>
      </c>
      <c r="C42" s="51">
        <f aca="true" t="shared" si="14" ref="C42:O42">SUM(C43:C46)</f>
        <v>0</v>
      </c>
      <c r="D42" s="51">
        <f t="shared" si="14"/>
        <v>8.17</v>
      </c>
      <c r="E42" s="51">
        <f t="shared" si="14"/>
        <v>0</v>
      </c>
      <c r="F42" s="51">
        <f t="shared" si="14"/>
        <v>12.254999999999999</v>
      </c>
      <c r="G42" s="51">
        <f t="shared" si="14"/>
        <v>156.415</v>
      </c>
      <c r="H42" s="51">
        <f t="shared" si="14"/>
        <v>210.51000000000002</v>
      </c>
      <c r="I42" s="51">
        <f t="shared" si="14"/>
        <v>15.75</v>
      </c>
      <c r="J42" s="51">
        <f t="shared" si="14"/>
        <v>22.25</v>
      </c>
      <c r="K42" s="51">
        <f t="shared" si="14"/>
        <v>0</v>
      </c>
      <c r="L42" s="51">
        <f t="shared" si="14"/>
        <v>57</v>
      </c>
      <c r="M42" s="51">
        <f t="shared" si="14"/>
        <v>267.51</v>
      </c>
      <c r="N42" s="51">
        <f t="shared" si="14"/>
        <v>423.925</v>
      </c>
      <c r="O42" s="51">
        <f t="shared" si="14"/>
        <v>211.9625</v>
      </c>
    </row>
    <row r="43" spans="1:15" ht="18.75">
      <c r="A43" s="32" t="s">
        <v>29</v>
      </c>
      <c r="B43" s="33">
        <v>67.5</v>
      </c>
      <c r="C43" s="33">
        <v>0</v>
      </c>
      <c r="D43" s="33">
        <v>0</v>
      </c>
      <c r="E43" s="33">
        <v>0</v>
      </c>
      <c r="F43" s="45">
        <f>SUM(C43:E43)*1.5</f>
        <v>0</v>
      </c>
      <c r="G43" s="52">
        <f>B43+F43</f>
        <v>67.5</v>
      </c>
      <c r="H43" s="33">
        <v>129.33</v>
      </c>
      <c r="I43" s="33">
        <v>15.75</v>
      </c>
      <c r="J43" s="33">
        <v>0</v>
      </c>
      <c r="K43" s="33">
        <v>0</v>
      </c>
      <c r="L43" s="45">
        <f>SUM(I43:K43)*1.5</f>
        <v>23.625</v>
      </c>
      <c r="M43" s="52">
        <f>H43+L43</f>
        <v>152.955</v>
      </c>
      <c r="N43" s="44">
        <f>G43+M43</f>
        <v>220.455</v>
      </c>
      <c r="O43" s="33">
        <f>N43/2</f>
        <v>110.2275</v>
      </c>
    </row>
    <row r="44" spans="1:15" ht="18.75">
      <c r="A44" s="18" t="s">
        <v>42</v>
      </c>
      <c r="B44" s="19">
        <v>76.66</v>
      </c>
      <c r="C44" s="19">
        <v>0</v>
      </c>
      <c r="D44" s="19">
        <v>0</v>
      </c>
      <c r="E44" s="19">
        <v>0</v>
      </c>
      <c r="F44" s="43">
        <f>SUM(C44:E44)*1.5</f>
        <v>0</v>
      </c>
      <c r="G44" s="53">
        <f>B44+F44</f>
        <v>76.66</v>
      </c>
      <c r="H44" s="19">
        <v>81.18</v>
      </c>
      <c r="I44" s="19">
        <v>0</v>
      </c>
      <c r="J44" s="19">
        <v>0</v>
      </c>
      <c r="K44" s="19">
        <v>0</v>
      </c>
      <c r="L44" s="43">
        <f>SUM(I44:K44)*1.5</f>
        <v>0</v>
      </c>
      <c r="M44" s="53">
        <f>H44+L44</f>
        <v>81.18</v>
      </c>
      <c r="N44" s="46">
        <f>G44+M44</f>
        <v>157.84</v>
      </c>
      <c r="O44" s="19">
        <f>N44/2</f>
        <v>78.92</v>
      </c>
    </row>
    <row r="45" spans="1:15" ht="18.75">
      <c r="A45" s="54" t="s">
        <v>43</v>
      </c>
      <c r="B45" s="55">
        <v>0</v>
      </c>
      <c r="C45" s="55">
        <v>0</v>
      </c>
      <c r="D45" s="55">
        <v>1</v>
      </c>
      <c r="E45" s="55">
        <v>0</v>
      </c>
      <c r="F45" s="43">
        <f>SUM(C45:E45)*1.5</f>
        <v>1.5</v>
      </c>
      <c r="G45" s="56">
        <f>B45+F45</f>
        <v>1.5</v>
      </c>
      <c r="H45" s="55">
        <v>0</v>
      </c>
      <c r="I45" s="55">
        <v>0</v>
      </c>
      <c r="J45" s="55">
        <v>14.5</v>
      </c>
      <c r="K45" s="55">
        <v>0</v>
      </c>
      <c r="L45" s="43">
        <f>SUM(I45:K45)*1.5</f>
        <v>21.75</v>
      </c>
      <c r="M45" s="56">
        <f>H45+L45</f>
        <v>21.75</v>
      </c>
      <c r="N45" s="57">
        <f>G45+M45</f>
        <v>23.25</v>
      </c>
      <c r="O45" s="55">
        <f>N45/2</f>
        <v>11.625</v>
      </c>
    </row>
    <row r="46" spans="1:15" ht="18.75">
      <c r="A46" s="18" t="s">
        <v>44</v>
      </c>
      <c r="B46" s="19">
        <v>0</v>
      </c>
      <c r="C46" s="19">
        <v>0</v>
      </c>
      <c r="D46" s="19">
        <v>7.17</v>
      </c>
      <c r="E46" s="19">
        <v>0</v>
      </c>
      <c r="F46" s="21">
        <f>SUM(C46:E46)*1.5</f>
        <v>10.754999999999999</v>
      </c>
      <c r="G46" s="53">
        <f>B46+F46</f>
        <v>10.754999999999999</v>
      </c>
      <c r="H46" s="19">
        <v>0</v>
      </c>
      <c r="I46" s="19">
        <v>0</v>
      </c>
      <c r="J46" s="19">
        <v>7.75</v>
      </c>
      <c r="K46" s="19">
        <v>0</v>
      </c>
      <c r="L46" s="21">
        <f>SUM(I46:K46)*1.5</f>
        <v>11.625</v>
      </c>
      <c r="M46" s="53">
        <f>H46+L46</f>
        <v>11.625</v>
      </c>
      <c r="N46" s="46">
        <f>G46+M46</f>
        <v>22.38</v>
      </c>
      <c r="O46" s="19">
        <f>N46/2</f>
        <v>11.19</v>
      </c>
    </row>
    <row r="47" spans="1:15" ht="18.75">
      <c r="A47" s="58" t="s">
        <v>23</v>
      </c>
      <c r="B47" s="59">
        <v>0</v>
      </c>
      <c r="C47" s="59">
        <v>0</v>
      </c>
      <c r="D47" s="59">
        <v>2</v>
      </c>
      <c r="E47" s="59">
        <v>0</v>
      </c>
      <c r="F47" s="60">
        <f>SUM(C47:E47)*1.5</f>
        <v>3</v>
      </c>
      <c r="G47" s="61">
        <f>B47+F47</f>
        <v>3</v>
      </c>
      <c r="H47" s="59">
        <v>0</v>
      </c>
      <c r="I47" s="59">
        <v>0</v>
      </c>
      <c r="J47" s="59">
        <v>0</v>
      </c>
      <c r="K47" s="59">
        <v>0</v>
      </c>
      <c r="L47" s="60">
        <f>SUM(I47:K47)*1.5</f>
        <v>0</v>
      </c>
      <c r="M47" s="61">
        <f>H47+L47</f>
        <v>0</v>
      </c>
      <c r="N47" s="62">
        <f>G47+M47</f>
        <v>3</v>
      </c>
      <c r="O47" s="59">
        <f>N47/2</f>
        <v>1.5</v>
      </c>
    </row>
    <row r="48" spans="1:15" ht="18.75">
      <c r="A48" s="563" t="s">
        <v>0</v>
      </c>
      <c r="B48" s="563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</row>
    <row r="49" spans="1:15" ht="18.75">
      <c r="A49" s="2"/>
      <c r="B49" s="564" t="s">
        <v>1</v>
      </c>
      <c r="C49" s="564"/>
      <c r="D49" s="564"/>
      <c r="E49" s="564"/>
      <c r="F49" s="564"/>
      <c r="G49" s="565"/>
      <c r="H49" s="564" t="s">
        <v>2</v>
      </c>
      <c r="I49" s="564"/>
      <c r="J49" s="564"/>
      <c r="K49" s="564"/>
      <c r="L49" s="564"/>
      <c r="M49" s="565"/>
      <c r="N49" s="3" t="s">
        <v>3</v>
      </c>
      <c r="O49" s="4"/>
    </row>
    <row r="50" spans="1:15" ht="18.75">
      <c r="A50" s="5" t="s">
        <v>4</v>
      </c>
      <c r="B50" s="566" t="s">
        <v>5</v>
      </c>
      <c r="C50" s="564"/>
      <c r="D50" s="564"/>
      <c r="E50" s="564"/>
      <c r="F50" s="565"/>
      <c r="G50" s="5" t="s">
        <v>3</v>
      </c>
      <c r="H50" s="566" t="s">
        <v>5</v>
      </c>
      <c r="I50" s="564"/>
      <c r="J50" s="564"/>
      <c r="K50" s="564"/>
      <c r="L50" s="565"/>
      <c r="M50" s="5" t="s">
        <v>3</v>
      </c>
      <c r="N50" s="6" t="s">
        <v>6</v>
      </c>
      <c r="O50" s="6" t="s">
        <v>7</v>
      </c>
    </row>
    <row r="51" spans="1:15" ht="18.75">
      <c r="A51" s="7"/>
      <c r="B51" s="8" t="s">
        <v>8</v>
      </c>
      <c r="C51" s="8" t="s">
        <v>9</v>
      </c>
      <c r="D51" s="8" t="s">
        <v>10</v>
      </c>
      <c r="E51" s="8" t="s">
        <v>11</v>
      </c>
      <c r="F51" s="8" t="s">
        <v>12</v>
      </c>
      <c r="G51" s="8" t="s">
        <v>13</v>
      </c>
      <c r="H51" s="8" t="s">
        <v>8</v>
      </c>
      <c r="I51" s="8" t="s">
        <v>9</v>
      </c>
      <c r="J51" s="8" t="s">
        <v>10</v>
      </c>
      <c r="K51" s="8" t="s">
        <v>11</v>
      </c>
      <c r="L51" s="8" t="s">
        <v>12</v>
      </c>
      <c r="M51" s="8" t="s">
        <v>13</v>
      </c>
      <c r="N51" s="9"/>
      <c r="O51" s="10"/>
    </row>
    <row r="52" spans="1:15" ht="18.75">
      <c r="A52" s="15" t="s">
        <v>45</v>
      </c>
      <c r="B52" s="51">
        <f aca="true" t="shared" si="15" ref="B52:O52">B53+B55</f>
        <v>258.4</v>
      </c>
      <c r="C52" s="51">
        <f t="shared" si="15"/>
        <v>0</v>
      </c>
      <c r="D52" s="51">
        <f t="shared" si="15"/>
        <v>4.5</v>
      </c>
      <c r="E52" s="51">
        <f t="shared" si="15"/>
        <v>0</v>
      </c>
      <c r="F52" s="51">
        <f t="shared" si="15"/>
        <v>6.75</v>
      </c>
      <c r="G52" s="51">
        <f t="shared" si="15"/>
        <v>265.15</v>
      </c>
      <c r="H52" s="51">
        <f t="shared" si="15"/>
        <v>141.01</v>
      </c>
      <c r="I52" s="51">
        <f t="shared" si="15"/>
        <v>15.75</v>
      </c>
      <c r="J52" s="51">
        <f t="shared" si="15"/>
        <v>6.5</v>
      </c>
      <c r="K52" s="51">
        <f t="shared" si="15"/>
        <v>0</v>
      </c>
      <c r="L52" s="51">
        <f t="shared" si="15"/>
        <v>33.375</v>
      </c>
      <c r="M52" s="51">
        <f t="shared" si="15"/>
        <v>174.385</v>
      </c>
      <c r="N52" s="51">
        <f t="shared" si="15"/>
        <v>439.535</v>
      </c>
      <c r="O52" s="51">
        <f t="shared" si="15"/>
        <v>219.7675</v>
      </c>
    </row>
    <row r="53" spans="1:15" ht="18.75">
      <c r="A53" s="18" t="s">
        <v>46</v>
      </c>
      <c r="B53" s="19">
        <v>170.73</v>
      </c>
      <c r="C53" s="19">
        <v>0</v>
      </c>
      <c r="D53" s="19">
        <v>4.5</v>
      </c>
      <c r="E53" s="19">
        <v>0</v>
      </c>
      <c r="F53" s="20">
        <f>SUM(C53:E53)*1.5</f>
        <v>6.75</v>
      </c>
      <c r="G53" s="53">
        <f>B53+F53</f>
        <v>177.48</v>
      </c>
      <c r="H53" s="19">
        <v>80.01</v>
      </c>
      <c r="I53" s="19">
        <v>0</v>
      </c>
      <c r="J53" s="19">
        <v>6.5</v>
      </c>
      <c r="K53" s="19">
        <v>0</v>
      </c>
      <c r="L53" s="20">
        <f>SUM(I53:K53)*1.5</f>
        <v>9.75</v>
      </c>
      <c r="M53" s="53">
        <f>H53+L53</f>
        <v>89.76</v>
      </c>
      <c r="N53" s="46">
        <f>G53+M53</f>
        <v>267.24</v>
      </c>
      <c r="O53" s="19">
        <f>N53/2</f>
        <v>133.62</v>
      </c>
    </row>
    <row r="54" spans="1:15" ht="18.75">
      <c r="A54" s="22" t="s">
        <v>23</v>
      </c>
      <c r="B54" s="23">
        <v>0</v>
      </c>
      <c r="C54" s="23">
        <v>0</v>
      </c>
      <c r="D54" s="23">
        <v>2.25</v>
      </c>
      <c r="E54" s="23">
        <v>0</v>
      </c>
      <c r="F54" s="49">
        <f>SUM(C54:E54)*1.5</f>
        <v>3.375</v>
      </c>
      <c r="G54" s="63">
        <f>B54+F54</f>
        <v>3.375</v>
      </c>
      <c r="H54" s="23">
        <v>0</v>
      </c>
      <c r="I54" s="23">
        <v>0</v>
      </c>
      <c r="J54" s="23">
        <v>0</v>
      </c>
      <c r="K54" s="23">
        <v>0</v>
      </c>
      <c r="L54" s="49">
        <f>SUM(I54:K54)*1.5</f>
        <v>0</v>
      </c>
      <c r="M54" s="63">
        <f>H54+L54</f>
        <v>0</v>
      </c>
      <c r="N54" s="48">
        <f>G54+M54</f>
        <v>3.375</v>
      </c>
      <c r="O54" s="23">
        <f>N54/2</f>
        <v>1.6875</v>
      </c>
    </row>
    <row r="55" spans="1:15" ht="18.75">
      <c r="A55" s="32" t="s">
        <v>29</v>
      </c>
      <c r="B55" s="33">
        <v>87.67</v>
      </c>
      <c r="C55" s="33">
        <v>0</v>
      </c>
      <c r="D55" s="33">
        <v>0</v>
      </c>
      <c r="E55" s="33">
        <v>0</v>
      </c>
      <c r="F55" s="34">
        <f>SUM(C55:E55)*1.5</f>
        <v>0</v>
      </c>
      <c r="G55" s="52">
        <f>B55+F55</f>
        <v>87.67</v>
      </c>
      <c r="H55" s="33">
        <v>61</v>
      </c>
      <c r="I55" s="33">
        <v>15.75</v>
      </c>
      <c r="J55" s="33">
        <v>0</v>
      </c>
      <c r="K55" s="33">
        <v>0</v>
      </c>
      <c r="L55" s="34">
        <f>SUM(I55:K55)*1.5</f>
        <v>23.625</v>
      </c>
      <c r="M55" s="52">
        <f>H55+L55</f>
        <v>84.625</v>
      </c>
      <c r="N55" s="44">
        <f>G55+M55</f>
        <v>172.29500000000002</v>
      </c>
      <c r="O55" s="33">
        <f>N55/2</f>
        <v>86.14750000000001</v>
      </c>
    </row>
    <row r="56" spans="1:15" ht="18.75">
      <c r="A56" s="27" t="s">
        <v>47</v>
      </c>
      <c r="B56" s="64">
        <f aca="true" t="shared" si="16" ref="B56:O56">B57</f>
        <v>802.91</v>
      </c>
      <c r="C56" s="64">
        <f t="shared" si="16"/>
        <v>0</v>
      </c>
      <c r="D56" s="64">
        <f t="shared" si="16"/>
        <v>0</v>
      </c>
      <c r="E56" s="64">
        <f t="shared" si="16"/>
        <v>0</v>
      </c>
      <c r="F56" s="64">
        <f t="shared" si="16"/>
        <v>0</v>
      </c>
      <c r="G56" s="64">
        <f t="shared" si="16"/>
        <v>802.91</v>
      </c>
      <c r="H56" s="64">
        <f t="shared" si="16"/>
        <v>839.77</v>
      </c>
      <c r="I56" s="64">
        <f t="shared" si="16"/>
        <v>0</v>
      </c>
      <c r="J56" s="64">
        <f t="shared" si="16"/>
        <v>0</v>
      </c>
      <c r="K56" s="64">
        <f t="shared" si="16"/>
        <v>0</v>
      </c>
      <c r="L56" s="64">
        <f t="shared" si="16"/>
        <v>0</v>
      </c>
      <c r="M56" s="64">
        <f t="shared" si="16"/>
        <v>839.77</v>
      </c>
      <c r="N56" s="64">
        <f t="shared" si="16"/>
        <v>1642.6799999999998</v>
      </c>
      <c r="O56" s="64">
        <f t="shared" si="16"/>
        <v>821.3399999999999</v>
      </c>
    </row>
    <row r="57" spans="1:15" ht="18.75">
      <c r="A57" s="15" t="s">
        <v>48</v>
      </c>
      <c r="B57" s="16">
        <v>802.91</v>
      </c>
      <c r="C57" s="16">
        <v>0</v>
      </c>
      <c r="D57" s="16">
        <v>0</v>
      </c>
      <c r="E57" s="16">
        <v>0</v>
      </c>
      <c r="F57" s="17">
        <f>SUM(C57:E57)*1.5</f>
        <v>0</v>
      </c>
      <c r="G57" s="51">
        <f>B57+F57</f>
        <v>802.91</v>
      </c>
      <c r="H57" s="16">
        <v>839.77</v>
      </c>
      <c r="I57" s="16">
        <v>0</v>
      </c>
      <c r="J57" s="16">
        <v>0</v>
      </c>
      <c r="K57" s="16">
        <v>0</v>
      </c>
      <c r="L57" s="17">
        <f>SUM(I57:K57)*1.5</f>
        <v>0</v>
      </c>
      <c r="M57" s="51">
        <f>H57+L57</f>
        <v>839.77</v>
      </c>
      <c r="N57" s="65">
        <f>G57+M57</f>
        <v>1642.6799999999998</v>
      </c>
      <c r="O57" s="16">
        <f>N57/2</f>
        <v>821.3399999999999</v>
      </c>
    </row>
    <row r="58" spans="1:15" ht="18.75">
      <c r="A58" s="66" t="s">
        <v>49</v>
      </c>
      <c r="B58" s="67">
        <f>B59+B60+B63</f>
        <v>396.9</v>
      </c>
      <c r="C58" s="67">
        <f aca="true" t="shared" si="17" ref="C58:O58">C59+C60+C63</f>
        <v>0</v>
      </c>
      <c r="D58" s="67">
        <f t="shared" si="17"/>
        <v>0</v>
      </c>
      <c r="E58" s="67">
        <f t="shared" si="17"/>
        <v>0</v>
      </c>
      <c r="F58" s="67">
        <f t="shared" si="17"/>
        <v>0</v>
      </c>
      <c r="G58" s="67">
        <f t="shared" si="17"/>
        <v>396.9</v>
      </c>
      <c r="H58" s="67">
        <f t="shared" si="17"/>
        <v>625.29</v>
      </c>
      <c r="I58" s="67">
        <f t="shared" si="17"/>
        <v>0</v>
      </c>
      <c r="J58" s="67">
        <f t="shared" si="17"/>
        <v>0</v>
      </c>
      <c r="K58" s="67">
        <f t="shared" si="17"/>
        <v>0</v>
      </c>
      <c r="L58" s="67">
        <f t="shared" si="17"/>
        <v>0</v>
      </c>
      <c r="M58" s="67">
        <f t="shared" si="17"/>
        <v>625.29</v>
      </c>
      <c r="N58" s="67">
        <f t="shared" si="17"/>
        <v>1022.19</v>
      </c>
      <c r="O58" s="67">
        <f t="shared" si="17"/>
        <v>511.095</v>
      </c>
    </row>
    <row r="59" spans="1:15" ht="18.75">
      <c r="A59" s="68" t="s">
        <v>50</v>
      </c>
      <c r="B59" s="69">
        <v>132.5</v>
      </c>
      <c r="C59" s="69">
        <v>0</v>
      </c>
      <c r="D59" s="69">
        <v>0</v>
      </c>
      <c r="E59" s="69">
        <v>0</v>
      </c>
      <c r="F59" s="17">
        <f>SUM(C59:E59)*1.5</f>
        <v>0</v>
      </c>
      <c r="G59" s="70">
        <f>B59+F59</f>
        <v>132.5</v>
      </c>
      <c r="H59" s="69">
        <v>212.52</v>
      </c>
      <c r="I59" s="69">
        <v>0</v>
      </c>
      <c r="J59" s="69">
        <v>0</v>
      </c>
      <c r="K59" s="69">
        <v>0</v>
      </c>
      <c r="L59" s="17">
        <f>SUM(I59:K59)*1.5</f>
        <v>0</v>
      </c>
      <c r="M59" s="70">
        <f>H59+L59</f>
        <v>212.52</v>
      </c>
      <c r="N59" s="71">
        <f>G59+M59</f>
        <v>345.02</v>
      </c>
      <c r="O59" s="69">
        <f>N59/2</f>
        <v>172.51</v>
      </c>
    </row>
    <row r="60" spans="1:15" ht="18.75">
      <c r="A60" s="68" t="s">
        <v>51</v>
      </c>
      <c r="B60" s="69">
        <f>SUM(B61:B62)</f>
        <v>174.63</v>
      </c>
      <c r="C60" s="69">
        <f aca="true" t="shared" si="18" ref="C60:O60">SUM(C61:C62)</f>
        <v>0</v>
      </c>
      <c r="D60" s="69">
        <f t="shared" si="18"/>
        <v>0</v>
      </c>
      <c r="E60" s="69">
        <f t="shared" si="18"/>
        <v>0</v>
      </c>
      <c r="F60" s="69">
        <f t="shared" si="18"/>
        <v>0</v>
      </c>
      <c r="G60" s="69">
        <f t="shared" si="18"/>
        <v>174.63</v>
      </c>
      <c r="H60" s="69">
        <f t="shared" si="18"/>
        <v>272.85</v>
      </c>
      <c r="I60" s="69">
        <f t="shared" si="18"/>
        <v>0</v>
      </c>
      <c r="J60" s="69">
        <f t="shared" si="18"/>
        <v>0</v>
      </c>
      <c r="K60" s="69">
        <f t="shared" si="18"/>
        <v>0</v>
      </c>
      <c r="L60" s="69">
        <f t="shared" si="18"/>
        <v>0</v>
      </c>
      <c r="M60" s="69">
        <f t="shared" si="18"/>
        <v>272.85</v>
      </c>
      <c r="N60" s="69">
        <f t="shared" si="18"/>
        <v>447.48</v>
      </c>
      <c r="O60" s="69">
        <f t="shared" si="18"/>
        <v>223.74</v>
      </c>
    </row>
    <row r="61" spans="1:15" ht="18.75">
      <c r="A61" s="72" t="s">
        <v>52</v>
      </c>
      <c r="B61" s="73">
        <v>140</v>
      </c>
      <c r="C61" s="73">
        <v>0</v>
      </c>
      <c r="D61" s="73">
        <v>0</v>
      </c>
      <c r="E61" s="73">
        <v>0</v>
      </c>
      <c r="F61" s="20">
        <f>SUM(C61:E61)*1.5</f>
        <v>0</v>
      </c>
      <c r="G61" s="74">
        <f>B61+F61</f>
        <v>140</v>
      </c>
      <c r="H61" s="73">
        <v>154.02</v>
      </c>
      <c r="I61" s="73">
        <v>0</v>
      </c>
      <c r="J61" s="73">
        <v>0</v>
      </c>
      <c r="K61" s="73">
        <v>0</v>
      </c>
      <c r="L61" s="20">
        <f>SUM(I61:K61)*1.5</f>
        <v>0</v>
      </c>
      <c r="M61" s="74">
        <f>H61+L61</f>
        <v>154.02</v>
      </c>
      <c r="N61" s="75">
        <f>G61+M61</f>
        <v>294.02</v>
      </c>
      <c r="O61" s="73">
        <f>N61/2</f>
        <v>147.01</v>
      </c>
    </row>
    <row r="62" spans="1:15" ht="18.75">
      <c r="A62" s="72" t="s">
        <v>53</v>
      </c>
      <c r="B62" s="73">
        <v>34.63</v>
      </c>
      <c r="C62" s="73">
        <v>0</v>
      </c>
      <c r="D62" s="73">
        <v>0</v>
      </c>
      <c r="E62" s="73">
        <v>0</v>
      </c>
      <c r="F62" s="20">
        <f>SUM(C62:E62)*1.5</f>
        <v>0</v>
      </c>
      <c r="G62" s="74">
        <f>B62+F62</f>
        <v>34.63</v>
      </c>
      <c r="H62" s="73">
        <v>118.83</v>
      </c>
      <c r="I62" s="73">
        <v>0</v>
      </c>
      <c r="J62" s="73">
        <v>0</v>
      </c>
      <c r="K62" s="73">
        <v>0</v>
      </c>
      <c r="L62" s="20">
        <f>SUM(I62:K62)*1.5</f>
        <v>0</v>
      </c>
      <c r="M62" s="74">
        <f>H62+L62</f>
        <v>118.83</v>
      </c>
      <c r="N62" s="75">
        <f>G62+M62</f>
        <v>153.46</v>
      </c>
      <c r="O62" s="73">
        <f>N62/2</f>
        <v>76.73</v>
      </c>
    </row>
    <row r="63" spans="1:15" ht="18.75">
      <c r="A63" s="76" t="s">
        <v>54</v>
      </c>
      <c r="B63" s="77">
        <v>89.77</v>
      </c>
      <c r="C63" s="77">
        <v>0</v>
      </c>
      <c r="D63" s="77">
        <v>0</v>
      </c>
      <c r="E63" s="77">
        <v>0</v>
      </c>
      <c r="F63" s="17">
        <f>SUM(C63:E63)*1.5</f>
        <v>0</v>
      </c>
      <c r="G63" s="70">
        <f>B63+F63</f>
        <v>89.77</v>
      </c>
      <c r="H63" s="77">
        <v>139.92</v>
      </c>
      <c r="I63" s="77">
        <v>0</v>
      </c>
      <c r="J63" s="77">
        <v>0</v>
      </c>
      <c r="K63" s="77">
        <v>0</v>
      </c>
      <c r="L63" s="17">
        <f>SUM(I63:K63)*1.5</f>
        <v>0</v>
      </c>
      <c r="M63" s="70">
        <f>H63+L63</f>
        <v>139.92</v>
      </c>
      <c r="N63" s="71">
        <f>G63+M63</f>
        <v>229.69</v>
      </c>
      <c r="O63" s="69">
        <f>N63/2</f>
        <v>114.845</v>
      </c>
    </row>
    <row r="64" spans="1:15" ht="18.75">
      <c r="A64" s="27" t="s">
        <v>55</v>
      </c>
      <c r="B64" s="64">
        <f aca="true" t="shared" si="19" ref="B64:O64">B65+B73+B81+B83+B96+B98</f>
        <v>2519.6099999999997</v>
      </c>
      <c r="C64" s="64">
        <f t="shared" si="19"/>
        <v>0</v>
      </c>
      <c r="D64" s="64">
        <f t="shared" si="19"/>
        <v>10.48</v>
      </c>
      <c r="E64" s="64">
        <f t="shared" si="19"/>
        <v>2.5</v>
      </c>
      <c r="F64" s="64">
        <f t="shared" si="19"/>
        <v>19.47</v>
      </c>
      <c r="G64" s="64">
        <f t="shared" si="19"/>
        <v>2539.0799999999995</v>
      </c>
      <c r="H64" s="64">
        <f t="shared" si="19"/>
        <v>3123.4300000000003</v>
      </c>
      <c r="I64" s="64">
        <f t="shared" si="19"/>
        <v>0</v>
      </c>
      <c r="J64" s="64">
        <f t="shared" si="19"/>
        <v>12.15</v>
      </c>
      <c r="K64" s="64">
        <f t="shared" si="19"/>
        <v>2.5</v>
      </c>
      <c r="L64" s="64">
        <f t="shared" si="19"/>
        <v>21.975</v>
      </c>
      <c r="M64" s="64">
        <f t="shared" si="19"/>
        <v>3145.405</v>
      </c>
      <c r="N64" s="64">
        <f t="shared" si="19"/>
        <v>5684.485000000001</v>
      </c>
      <c r="O64" s="64">
        <f t="shared" si="19"/>
        <v>2842.2425000000003</v>
      </c>
    </row>
    <row r="65" spans="1:15" ht="18.75">
      <c r="A65" s="41" t="s">
        <v>56</v>
      </c>
      <c r="B65" s="78">
        <f>B66</f>
        <v>0</v>
      </c>
      <c r="C65" s="78">
        <f aca="true" t="shared" si="20" ref="C65:O65">C66</f>
        <v>0</v>
      </c>
      <c r="D65" s="78">
        <f t="shared" si="20"/>
        <v>0</v>
      </c>
      <c r="E65" s="78">
        <f t="shared" si="20"/>
        <v>2.5</v>
      </c>
      <c r="F65" s="78">
        <f t="shared" si="20"/>
        <v>3.75</v>
      </c>
      <c r="G65" s="78">
        <f t="shared" si="20"/>
        <v>3.75</v>
      </c>
      <c r="H65" s="78">
        <f t="shared" si="20"/>
        <v>0</v>
      </c>
      <c r="I65" s="78">
        <f t="shared" si="20"/>
        <v>0</v>
      </c>
      <c r="J65" s="78">
        <f t="shared" si="20"/>
        <v>0</v>
      </c>
      <c r="K65" s="78">
        <f t="shared" si="20"/>
        <v>1.25</v>
      </c>
      <c r="L65" s="78">
        <f t="shared" si="20"/>
        <v>1.875</v>
      </c>
      <c r="M65" s="78">
        <f t="shared" si="20"/>
        <v>1.875</v>
      </c>
      <c r="N65" s="78">
        <f t="shared" si="20"/>
        <v>5.625</v>
      </c>
      <c r="O65" s="78">
        <f t="shared" si="20"/>
        <v>2.8125</v>
      </c>
    </row>
    <row r="66" spans="1:15" ht="18.75">
      <c r="A66" s="79" t="s">
        <v>57</v>
      </c>
      <c r="B66" s="80">
        <v>0</v>
      </c>
      <c r="C66" s="80">
        <v>0</v>
      </c>
      <c r="D66" s="80">
        <v>0</v>
      </c>
      <c r="E66" s="80">
        <v>2.5</v>
      </c>
      <c r="F66" s="81">
        <f>SUM(C66:E66)*1.5</f>
        <v>3.75</v>
      </c>
      <c r="G66" s="53">
        <f>B66+F66</f>
        <v>3.75</v>
      </c>
      <c r="H66" s="80">
        <v>0</v>
      </c>
      <c r="I66" s="80">
        <v>0</v>
      </c>
      <c r="J66" s="80">
        <v>0</v>
      </c>
      <c r="K66" s="80">
        <v>1.25</v>
      </c>
      <c r="L66" s="20">
        <f>SUM(I66:K66)*1.5</f>
        <v>1.875</v>
      </c>
      <c r="M66" s="53">
        <f>H66+L66</f>
        <v>1.875</v>
      </c>
      <c r="N66" s="82">
        <f>G66+M66</f>
        <v>5.625</v>
      </c>
      <c r="O66" s="26">
        <f>N66/2</f>
        <v>2.8125</v>
      </c>
    </row>
    <row r="67" spans="1:15" ht="18.75">
      <c r="A67" s="83" t="s">
        <v>58</v>
      </c>
      <c r="B67" s="84">
        <v>0</v>
      </c>
      <c r="C67" s="84">
        <v>0</v>
      </c>
      <c r="D67" s="84">
        <v>0</v>
      </c>
      <c r="E67" s="84">
        <v>0</v>
      </c>
      <c r="F67" s="85">
        <f>SUM(C67:E67)*1.5</f>
        <v>0</v>
      </c>
      <c r="G67" s="86">
        <f>B67+F67</f>
        <v>0</v>
      </c>
      <c r="H67" s="84">
        <v>0</v>
      </c>
      <c r="I67" s="84">
        <v>0</v>
      </c>
      <c r="J67" s="84">
        <v>0</v>
      </c>
      <c r="K67" s="84">
        <v>6.5</v>
      </c>
      <c r="L67" s="49">
        <f>SUM(I67:K67)*1.5</f>
        <v>9.75</v>
      </c>
      <c r="M67" s="86">
        <f>H67+L67</f>
        <v>9.75</v>
      </c>
      <c r="N67" s="87">
        <f>G67+M67</f>
        <v>9.75</v>
      </c>
      <c r="O67" s="88">
        <f>N67/2</f>
        <v>4.875</v>
      </c>
    </row>
    <row r="68" spans="1:15" ht="18.75">
      <c r="A68" s="89"/>
      <c r="B68" s="90"/>
      <c r="C68" s="90"/>
      <c r="D68" s="90"/>
      <c r="E68" s="90"/>
      <c r="F68" s="91"/>
      <c r="G68" s="90"/>
      <c r="H68" s="90"/>
      <c r="I68" s="90"/>
      <c r="J68" s="90"/>
      <c r="K68" s="90"/>
      <c r="L68" s="91"/>
      <c r="M68" s="90"/>
      <c r="N68" s="92"/>
      <c r="O68" s="93"/>
    </row>
    <row r="69" spans="1:15" ht="18.75">
      <c r="A69" s="563" t="s">
        <v>0</v>
      </c>
      <c r="B69" s="563"/>
      <c r="C69" s="563"/>
      <c r="D69" s="563"/>
      <c r="E69" s="563"/>
      <c r="F69" s="563"/>
      <c r="G69" s="563"/>
      <c r="H69" s="563"/>
      <c r="I69" s="563"/>
      <c r="J69" s="563"/>
      <c r="K69" s="563"/>
      <c r="L69" s="563"/>
      <c r="M69" s="563"/>
      <c r="N69" s="563"/>
      <c r="O69" s="563"/>
    </row>
    <row r="70" spans="1:15" ht="18.75">
      <c r="A70" s="2"/>
      <c r="B70" s="564" t="s">
        <v>1</v>
      </c>
      <c r="C70" s="564"/>
      <c r="D70" s="564"/>
      <c r="E70" s="564"/>
      <c r="F70" s="564"/>
      <c r="G70" s="565"/>
      <c r="H70" s="564" t="s">
        <v>2</v>
      </c>
      <c r="I70" s="564"/>
      <c r="J70" s="564"/>
      <c r="K70" s="564"/>
      <c r="L70" s="564"/>
      <c r="M70" s="565"/>
      <c r="N70" s="3" t="s">
        <v>3</v>
      </c>
      <c r="O70" s="4"/>
    </row>
    <row r="71" spans="1:15" ht="18.75">
      <c r="A71" s="5" t="s">
        <v>4</v>
      </c>
      <c r="B71" s="566" t="s">
        <v>5</v>
      </c>
      <c r="C71" s="564"/>
      <c r="D71" s="564"/>
      <c r="E71" s="564"/>
      <c r="F71" s="565"/>
      <c r="G71" s="5" t="s">
        <v>3</v>
      </c>
      <c r="H71" s="566" t="s">
        <v>5</v>
      </c>
      <c r="I71" s="564"/>
      <c r="J71" s="564"/>
      <c r="K71" s="564"/>
      <c r="L71" s="565"/>
      <c r="M71" s="5" t="s">
        <v>3</v>
      </c>
      <c r="N71" s="6" t="s">
        <v>6</v>
      </c>
      <c r="O71" s="6" t="s">
        <v>7</v>
      </c>
    </row>
    <row r="72" spans="1:15" ht="18.75">
      <c r="A72" s="7"/>
      <c r="B72" s="8" t="s">
        <v>8</v>
      </c>
      <c r="C72" s="8" t="s">
        <v>9</v>
      </c>
      <c r="D72" s="8" t="s">
        <v>10</v>
      </c>
      <c r="E72" s="8" t="s">
        <v>11</v>
      </c>
      <c r="F72" s="8" t="s">
        <v>12</v>
      </c>
      <c r="G72" s="8" t="s">
        <v>13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9"/>
      <c r="O72" s="10"/>
    </row>
    <row r="73" spans="1:15" ht="18.75">
      <c r="A73" s="41" t="s">
        <v>59</v>
      </c>
      <c r="B73" s="78">
        <f aca="true" t="shared" si="21" ref="B73:O73">SUM(B74:B80)</f>
        <v>750.0799999999999</v>
      </c>
      <c r="C73" s="78">
        <f t="shared" si="21"/>
        <v>0</v>
      </c>
      <c r="D73" s="78">
        <f t="shared" si="21"/>
        <v>0</v>
      </c>
      <c r="E73" s="78">
        <f t="shared" si="21"/>
        <v>0</v>
      </c>
      <c r="F73" s="78">
        <f t="shared" si="21"/>
        <v>0</v>
      </c>
      <c r="G73" s="78">
        <f t="shared" si="21"/>
        <v>750.0799999999999</v>
      </c>
      <c r="H73" s="78">
        <f t="shared" si="21"/>
        <v>946.5400000000001</v>
      </c>
      <c r="I73" s="78">
        <f t="shared" si="21"/>
        <v>0</v>
      </c>
      <c r="J73" s="78">
        <f t="shared" si="21"/>
        <v>0</v>
      </c>
      <c r="K73" s="78">
        <f t="shared" si="21"/>
        <v>0</v>
      </c>
      <c r="L73" s="78">
        <f t="shared" si="21"/>
        <v>0</v>
      </c>
      <c r="M73" s="78">
        <f t="shared" si="21"/>
        <v>946.5400000000001</v>
      </c>
      <c r="N73" s="78">
        <f t="shared" si="21"/>
        <v>1696.6200000000001</v>
      </c>
      <c r="O73" s="78">
        <f t="shared" si="21"/>
        <v>848.3100000000001</v>
      </c>
    </row>
    <row r="74" spans="1:15" ht="18.75">
      <c r="A74" s="18" t="s">
        <v>60</v>
      </c>
      <c r="B74" s="19">
        <v>214.19</v>
      </c>
      <c r="C74" s="19">
        <v>0</v>
      </c>
      <c r="D74" s="19">
        <v>0</v>
      </c>
      <c r="E74" s="19">
        <v>0</v>
      </c>
      <c r="F74" s="94">
        <f aca="true" t="shared" si="22" ref="F74:F80">SUM(C74:E74)*1.5</f>
        <v>0</v>
      </c>
      <c r="G74" s="53">
        <f aca="true" t="shared" si="23" ref="G74:G80">B74+F74</f>
        <v>214.19</v>
      </c>
      <c r="H74" s="19">
        <v>244.54</v>
      </c>
      <c r="I74" s="19">
        <v>0</v>
      </c>
      <c r="J74" s="19">
        <v>0</v>
      </c>
      <c r="K74" s="19">
        <v>0</v>
      </c>
      <c r="L74" s="94">
        <f aca="true" t="shared" si="24" ref="L74:L80">SUM(I74:K74)*1.5</f>
        <v>0</v>
      </c>
      <c r="M74" s="53">
        <f aca="true" t="shared" si="25" ref="M74:M80">H74+L74</f>
        <v>244.54</v>
      </c>
      <c r="N74" s="26">
        <f aca="true" t="shared" si="26" ref="N74:N80">G74+M74</f>
        <v>458.73</v>
      </c>
      <c r="O74" s="26">
        <f aca="true" t="shared" si="27" ref="O74:O80">N74/2</f>
        <v>229.365</v>
      </c>
    </row>
    <row r="75" spans="1:15" ht="18.75">
      <c r="A75" s="18" t="s">
        <v>61</v>
      </c>
      <c r="B75" s="19">
        <v>43.21</v>
      </c>
      <c r="C75" s="19">
        <v>0</v>
      </c>
      <c r="D75" s="19">
        <v>0</v>
      </c>
      <c r="E75" s="19">
        <v>0</v>
      </c>
      <c r="F75" s="94">
        <f t="shared" si="22"/>
        <v>0</v>
      </c>
      <c r="G75" s="53">
        <f t="shared" si="23"/>
        <v>43.21</v>
      </c>
      <c r="H75" s="19">
        <v>119.58</v>
      </c>
      <c r="I75" s="19">
        <v>0</v>
      </c>
      <c r="J75" s="19">
        <v>0</v>
      </c>
      <c r="K75" s="19">
        <v>0</v>
      </c>
      <c r="L75" s="94">
        <f t="shared" si="24"/>
        <v>0</v>
      </c>
      <c r="M75" s="53">
        <f t="shared" si="25"/>
        <v>119.58</v>
      </c>
      <c r="N75" s="26">
        <f t="shared" si="26"/>
        <v>162.79</v>
      </c>
      <c r="O75" s="26">
        <f t="shared" si="27"/>
        <v>81.395</v>
      </c>
    </row>
    <row r="76" spans="1:15" ht="18.75">
      <c r="A76" s="18" t="s">
        <v>62</v>
      </c>
      <c r="B76" s="19">
        <v>66.5</v>
      </c>
      <c r="C76" s="19">
        <v>0</v>
      </c>
      <c r="D76" s="19">
        <v>0</v>
      </c>
      <c r="E76" s="19">
        <v>0</v>
      </c>
      <c r="F76" s="94">
        <f t="shared" si="22"/>
        <v>0</v>
      </c>
      <c r="G76" s="53">
        <f t="shared" si="23"/>
        <v>66.5</v>
      </c>
      <c r="H76" s="19">
        <v>9</v>
      </c>
      <c r="I76" s="19">
        <v>0</v>
      </c>
      <c r="J76" s="19">
        <v>0</v>
      </c>
      <c r="K76" s="19">
        <v>0</v>
      </c>
      <c r="L76" s="94">
        <f>SUM(I76:K76)*1.5</f>
        <v>0</v>
      </c>
      <c r="M76" s="53">
        <f>H76+L76</f>
        <v>9</v>
      </c>
      <c r="N76" s="26">
        <f>G76+M76</f>
        <v>75.5</v>
      </c>
      <c r="O76" s="26">
        <f t="shared" si="27"/>
        <v>37.75</v>
      </c>
    </row>
    <row r="77" spans="1:15" ht="18.75">
      <c r="A77" s="18" t="s">
        <v>63</v>
      </c>
      <c r="B77" s="19">
        <v>16.17</v>
      </c>
      <c r="C77" s="19">
        <v>0</v>
      </c>
      <c r="D77" s="19">
        <v>0</v>
      </c>
      <c r="E77" s="19">
        <v>0</v>
      </c>
      <c r="F77" s="94">
        <f t="shared" si="22"/>
        <v>0</v>
      </c>
      <c r="G77" s="53">
        <f t="shared" si="23"/>
        <v>16.17</v>
      </c>
      <c r="H77" s="19">
        <v>59.5</v>
      </c>
      <c r="I77" s="19">
        <v>0</v>
      </c>
      <c r="J77" s="19">
        <v>0</v>
      </c>
      <c r="K77" s="19">
        <v>0</v>
      </c>
      <c r="L77" s="94">
        <f t="shared" si="24"/>
        <v>0</v>
      </c>
      <c r="M77" s="53">
        <f t="shared" si="25"/>
        <v>59.5</v>
      </c>
      <c r="N77" s="26">
        <f t="shared" si="26"/>
        <v>75.67</v>
      </c>
      <c r="O77" s="26">
        <f t="shared" si="27"/>
        <v>37.835</v>
      </c>
    </row>
    <row r="78" spans="1:15" ht="18.75">
      <c r="A78" s="18" t="s">
        <v>64</v>
      </c>
      <c r="B78" s="19">
        <v>138.69</v>
      </c>
      <c r="C78" s="19">
        <v>0</v>
      </c>
      <c r="D78" s="19">
        <v>0</v>
      </c>
      <c r="E78" s="19">
        <v>0</v>
      </c>
      <c r="F78" s="94">
        <f t="shared" si="22"/>
        <v>0</v>
      </c>
      <c r="G78" s="53">
        <f t="shared" si="23"/>
        <v>138.69</v>
      </c>
      <c r="H78" s="19">
        <v>209.31</v>
      </c>
      <c r="I78" s="19">
        <v>0</v>
      </c>
      <c r="J78" s="19">
        <v>0</v>
      </c>
      <c r="K78" s="19">
        <v>0</v>
      </c>
      <c r="L78" s="94">
        <f t="shared" si="24"/>
        <v>0</v>
      </c>
      <c r="M78" s="53">
        <f t="shared" si="25"/>
        <v>209.31</v>
      </c>
      <c r="N78" s="26">
        <f t="shared" si="26"/>
        <v>348</v>
      </c>
      <c r="O78" s="26">
        <f t="shared" si="27"/>
        <v>174</v>
      </c>
    </row>
    <row r="79" spans="1:15" ht="18.75">
      <c r="A79" s="18" t="s">
        <v>65</v>
      </c>
      <c r="B79" s="19">
        <v>102.67</v>
      </c>
      <c r="C79" s="19">
        <v>0</v>
      </c>
      <c r="D79" s="19">
        <v>0</v>
      </c>
      <c r="E79" s="19">
        <v>0</v>
      </c>
      <c r="F79" s="95">
        <f t="shared" si="22"/>
        <v>0</v>
      </c>
      <c r="G79" s="53">
        <f t="shared" si="23"/>
        <v>102.67</v>
      </c>
      <c r="H79" s="19">
        <v>95</v>
      </c>
      <c r="I79" s="19">
        <v>0</v>
      </c>
      <c r="J79" s="19">
        <v>0</v>
      </c>
      <c r="K79" s="19">
        <v>0</v>
      </c>
      <c r="L79" s="95">
        <f t="shared" si="24"/>
        <v>0</v>
      </c>
      <c r="M79" s="53">
        <f t="shared" si="25"/>
        <v>95</v>
      </c>
      <c r="N79" s="26">
        <f t="shared" si="26"/>
        <v>197.67000000000002</v>
      </c>
      <c r="O79" s="26">
        <f t="shared" si="27"/>
        <v>98.83500000000001</v>
      </c>
    </row>
    <row r="80" spans="1:15" ht="18.75">
      <c r="A80" s="54" t="s">
        <v>66</v>
      </c>
      <c r="B80" s="55">
        <v>168.65</v>
      </c>
      <c r="C80" s="55">
        <v>0</v>
      </c>
      <c r="D80" s="55">
        <v>0</v>
      </c>
      <c r="E80" s="55">
        <v>0</v>
      </c>
      <c r="F80" s="96">
        <f t="shared" si="22"/>
        <v>0</v>
      </c>
      <c r="G80" s="56">
        <f t="shared" si="23"/>
        <v>168.65</v>
      </c>
      <c r="H80" s="55">
        <v>209.61</v>
      </c>
      <c r="I80" s="55">
        <v>0</v>
      </c>
      <c r="J80" s="55">
        <v>0</v>
      </c>
      <c r="K80" s="55">
        <v>0</v>
      </c>
      <c r="L80" s="96">
        <f t="shared" si="24"/>
        <v>0</v>
      </c>
      <c r="M80" s="56">
        <f t="shared" si="25"/>
        <v>209.61</v>
      </c>
      <c r="N80" s="97">
        <f t="shared" si="26"/>
        <v>378.26</v>
      </c>
      <c r="O80" s="97">
        <f t="shared" si="27"/>
        <v>189.13</v>
      </c>
    </row>
    <row r="81" spans="1:15" ht="18.75">
      <c r="A81" s="15" t="s">
        <v>67</v>
      </c>
      <c r="B81" s="16">
        <f aca="true" t="shared" si="28" ref="B81:O81">B82</f>
        <v>132.62</v>
      </c>
      <c r="C81" s="16">
        <f t="shared" si="28"/>
        <v>0</v>
      </c>
      <c r="D81" s="16">
        <f t="shared" si="28"/>
        <v>0</v>
      </c>
      <c r="E81" s="16">
        <f t="shared" si="28"/>
        <v>0</v>
      </c>
      <c r="F81" s="16">
        <f t="shared" si="28"/>
        <v>0</v>
      </c>
      <c r="G81" s="16">
        <f t="shared" si="28"/>
        <v>132.62</v>
      </c>
      <c r="H81" s="16">
        <f t="shared" si="28"/>
        <v>192.78</v>
      </c>
      <c r="I81" s="16">
        <f t="shared" si="28"/>
        <v>0</v>
      </c>
      <c r="J81" s="16">
        <f t="shared" si="28"/>
        <v>0</v>
      </c>
      <c r="K81" s="16">
        <f t="shared" si="28"/>
        <v>0</v>
      </c>
      <c r="L81" s="16">
        <f t="shared" si="28"/>
        <v>0</v>
      </c>
      <c r="M81" s="16">
        <f t="shared" si="28"/>
        <v>192.78</v>
      </c>
      <c r="N81" s="16">
        <f t="shared" si="28"/>
        <v>325.4</v>
      </c>
      <c r="O81" s="16">
        <f t="shared" si="28"/>
        <v>162.7</v>
      </c>
    </row>
    <row r="82" spans="1:15" ht="18.75">
      <c r="A82" s="18" t="s">
        <v>68</v>
      </c>
      <c r="B82" s="19">
        <v>132.62</v>
      </c>
      <c r="C82" s="19">
        <v>0</v>
      </c>
      <c r="D82" s="19">
        <v>0</v>
      </c>
      <c r="E82" s="19">
        <v>0</v>
      </c>
      <c r="F82" s="95">
        <f>SUM(C82:E82)*1.5</f>
        <v>0</v>
      </c>
      <c r="G82" s="26">
        <f>B82+F82</f>
        <v>132.62</v>
      </c>
      <c r="H82" s="19">
        <v>192.78</v>
      </c>
      <c r="I82" s="19">
        <v>0</v>
      </c>
      <c r="J82" s="19">
        <v>0</v>
      </c>
      <c r="K82" s="19">
        <v>0</v>
      </c>
      <c r="L82" s="95">
        <f>SUM(I82:K82)*1.5</f>
        <v>0</v>
      </c>
      <c r="M82" s="26">
        <f>H82+L82</f>
        <v>192.78</v>
      </c>
      <c r="N82" s="26">
        <f>G82+M82</f>
        <v>325.4</v>
      </c>
      <c r="O82" s="26">
        <f>N82/2</f>
        <v>162.7</v>
      </c>
    </row>
    <row r="83" spans="1:15" ht="18.75">
      <c r="A83" s="15" t="s">
        <v>69</v>
      </c>
      <c r="B83" s="16">
        <f>B84+B86+B88+B89+B90+B91</f>
        <v>637.5899999999999</v>
      </c>
      <c r="C83" s="16">
        <f aca="true" t="shared" si="29" ref="C83:O83">C84+C86+C88+C89+C90+C91</f>
        <v>0</v>
      </c>
      <c r="D83" s="16">
        <f t="shared" si="29"/>
        <v>6.98</v>
      </c>
      <c r="E83" s="16">
        <f t="shared" si="29"/>
        <v>0</v>
      </c>
      <c r="F83" s="16">
        <f t="shared" si="29"/>
        <v>10.469999999999999</v>
      </c>
      <c r="G83" s="16">
        <f t="shared" si="29"/>
        <v>648.06</v>
      </c>
      <c r="H83" s="16">
        <f t="shared" si="29"/>
        <v>850.97</v>
      </c>
      <c r="I83" s="16">
        <f t="shared" si="29"/>
        <v>0</v>
      </c>
      <c r="J83" s="16">
        <f t="shared" si="29"/>
        <v>5.32</v>
      </c>
      <c r="K83" s="16">
        <f t="shared" si="29"/>
        <v>0</v>
      </c>
      <c r="L83" s="16">
        <f t="shared" si="29"/>
        <v>7.98</v>
      </c>
      <c r="M83" s="16">
        <f t="shared" si="29"/>
        <v>858.95</v>
      </c>
      <c r="N83" s="16">
        <f t="shared" si="29"/>
        <v>1507.01</v>
      </c>
      <c r="O83" s="16">
        <f t="shared" si="29"/>
        <v>753.505</v>
      </c>
    </row>
    <row r="84" spans="1:15" ht="18.75">
      <c r="A84" s="18" t="s">
        <v>70</v>
      </c>
      <c r="B84" s="19">
        <v>409.89</v>
      </c>
      <c r="C84" s="19">
        <v>0</v>
      </c>
      <c r="D84" s="19">
        <v>5.49</v>
      </c>
      <c r="E84" s="19">
        <v>0</v>
      </c>
      <c r="F84" s="26">
        <f aca="true" t="shared" si="30" ref="F84:F91">SUM(C84:E84)*1.5</f>
        <v>8.235</v>
      </c>
      <c r="G84" s="26">
        <f>B84+F84</f>
        <v>418.125</v>
      </c>
      <c r="H84" s="19">
        <v>559.71</v>
      </c>
      <c r="I84" s="19">
        <v>0</v>
      </c>
      <c r="J84" s="19">
        <v>2.83</v>
      </c>
      <c r="K84" s="19">
        <v>0</v>
      </c>
      <c r="L84" s="26">
        <f aca="true" t="shared" si="31" ref="L84:L91">SUM(I84:K84)*1.5</f>
        <v>4.245</v>
      </c>
      <c r="M84" s="26">
        <f aca="true" t="shared" si="32" ref="M84:M91">H84+L84</f>
        <v>563.955</v>
      </c>
      <c r="N84" s="26">
        <f aca="true" t="shared" si="33" ref="N84:N91">G84+M84</f>
        <v>982.08</v>
      </c>
      <c r="O84" s="26">
        <f aca="true" t="shared" si="34" ref="O84:O91">N84/2</f>
        <v>491.04</v>
      </c>
    </row>
    <row r="85" spans="1:15" ht="18.75">
      <c r="A85" s="22" t="s">
        <v>71</v>
      </c>
      <c r="B85" s="23">
        <v>0</v>
      </c>
      <c r="C85" s="23">
        <v>0</v>
      </c>
      <c r="D85" s="23">
        <v>2</v>
      </c>
      <c r="E85" s="23">
        <v>0</v>
      </c>
      <c r="F85" s="23">
        <f t="shared" si="30"/>
        <v>3</v>
      </c>
      <c r="G85" s="23">
        <f>B85+F85</f>
        <v>3</v>
      </c>
      <c r="H85" s="23">
        <v>0</v>
      </c>
      <c r="I85" s="23">
        <v>0</v>
      </c>
      <c r="J85" s="23">
        <v>2</v>
      </c>
      <c r="K85" s="23">
        <v>0</v>
      </c>
      <c r="L85" s="23">
        <f>SUM(I85:K85)*1.5</f>
        <v>3</v>
      </c>
      <c r="M85" s="23">
        <f>H85+L85</f>
        <v>3</v>
      </c>
      <c r="N85" s="23">
        <f>G85+M85</f>
        <v>6</v>
      </c>
      <c r="O85" s="23">
        <f t="shared" si="34"/>
        <v>3</v>
      </c>
    </row>
    <row r="86" spans="1:15" ht="18.75">
      <c r="A86" s="18" t="s">
        <v>72</v>
      </c>
      <c r="B86" s="19">
        <v>0.22</v>
      </c>
      <c r="C86" s="19">
        <v>0</v>
      </c>
      <c r="D86" s="19">
        <v>1.49</v>
      </c>
      <c r="E86" s="19">
        <v>0</v>
      </c>
      <c r="F86" s="26">
        <f t="shared" si="30"/>
        <v>2.235</v>
      </c>
      <c r="G86" s="26">
        <f aca="true" t="shared" si="35" ref="G86:G91">B86+F86</f>
        <v>2.455</v>
      </c>
      <c r="H86" s="19">
        <v>0</v>
      </c>
      <c r="I86" s="19">
        <v>0</v>
      </c>
      <c r="J86" s="19">
        <v>2.49</v>
      </c>
      <c r="K86" s="19">
        <v>0</v>
      </c>
      <c r="L86" s="26">
        <f t="shared" si="31"/>
        <v>3.7350000000000003</v>
      </c>
      <c r="M86" s="26">
        <f t="shared" si="32"/>
        <v>3.7350000000000003</v>
      </c>
      <c r="N86" s="26">
        <f t="shared" si="33"/>
        <v>6.19</v>
      </c>
      <c r="O86" s="26">
        <f t="shared" si="34"/>
        <v>3.095</v>
      </c>
    </row>
    <row r="87" spans="1:15" ht="18.75">
      <c r="A87" s="22" t="s">
        <v>73</v>
      </c>
      <c r="B87" s="23">
        <v>0</v>
      </c>
      <c r="C87" s="23">
        <v>0</v>
      </c>
      <c r="D87" s="23">
        <v>0</v>
      </c>
      <c r="E87" s="23">
        <v>0</v>
      </c>
      <c r="F87" s="23">
        <f t="shared" si="30"/>
        <v>0</v>
      </c>
      <c r="G87" s="23">
        <f>B87+F87</f>
        <v>0</v>
      </c>
      <c r="H87" s="23">
        <v>0</v>
      </c>
      <c r="I87" s="23">
        <v>0</v>
      </c>
      <c r="J87" s="23">
        <v>1</v>
      </c>
      <c r="K87" s="23">
        <v>0</v>
      </c>
      <c r="L87" s="23">
        <f>SUM(I87:K87)*1.5</f>
        <v>1.5</v>
      </c>
      <c r="M87" s="23">
        <f>H87+L87</f>
        <v>1.5</v>
      </c>
      <c r="N87" s="23">
        <f>G87+M87</f>
        <v>1.5</v>
      </c>
      <c r="O87" s="23">
        <f t="shared" si="34"/>
        <v>0.75</v>
      </c>
    </row>
    <row r="88" spans="1:15" ht="18.75">
      <c r="A88" s="18" t="s">
        <v>74</v>
      </c>
      <c r="B88" s="19">
        <v>65.03</v>
      </c>
      <c r="C88" s="19">
        <v>0</v>
      </c>
      <c r="D88" s="19">
        <v>0</v>
      </c>
      <c r="E88" s="19">
        <v>0</v>
      </c>
      <c r="F88" s="98">
        <f t="shared" si="30"/>
        <v>0</v>
      </c>
      <c r="G88" s="26">
        <f t="shared" si="35"/>
        <v>65.03</v>
      </c>
      <c r="H88" s="19">
        <v>59.94</v>
      </c>
      <c r="I88" s="19">
        <v>0</v>
      </c>
      <c r="J88" s="19">
        <v>0</v>
      </c>
      <c r="K88" s="19">
        <v>0</v>
      </c>
      <c r="L88" s="98">
        <f t="shared" si="31"/>
        <v>0</v>
      </c>
      <c r="M88" s="26">
        <f t="shared" si="32"/>
        <v>59.94</v>
      </c>
      <c r="N88" s="26">
        <f t="shared" si="33"/>
        <v>124.97</v>
      </c>
      <c r="O88" s="26">
        <f t="shared" si="34"/>
        <v>62.485</v>
      </c>
    </row>
    <row r="89" spans="1:15" ht="18.75">
      <c r="A89" s="18" t="s">
        <v>75</v>
      </c>
      <c r="B89" s="19">
        <v>82.29</v>
      </c>
      <c r="C89" s="19">
        <v>0</v>
      </c>
      <c r="D89" s="19">
        <v>0</v>
      </c>
      <c r="E89" s="19">
        <v>0</v>
      </c>
      <c r="F89" s="98">
        <f t="shared" si="30"/>
        <v>0</v>
      </c>
      <c r="G89" s="26">
        <f t="shared" si="35"/>
        <v>82.29</v>
      </c>
      <c r="H89" s="19">
        <v>108.15</v>
      </c>
      <c r="I89" s="19">
        <v>0</v>
      </c>
      <c r="J89" s="19">
        <v>0</v>
      </c>
      <c r="K89" s="19">
        <v>0</v>
      </c>
      <c r="L89" s="98">
        <f t="shared" si="31"/>
        <v>0</v>
      </c>
      <c r="M89" s="26">
        <f t="shared" si="32"/>
        <v>108.15</v>
      </c>
      <c r="N89" s="26">
        <f t="shared" si="33"/>
        <v>190.44</v>
      </c>
      <c r="O89" s="26">
        <f t="shared" si="34"/>
        <v>95.22</v>
      </c>
    </row>
    <row r="90" spans="1:15" ht="18.75">
      <c r="A90" s="18" t="s">
        <v>76</v>
      </c>
      <c r="B90" s="19">
        <v>0</v>
      </c>
      <c r="C90" s="19">
        <v>0</v>
      </c>
      <c r="D90" s="19">
        <v>0</v>
      </c>
      <c r="E90" s="19">
        <v>0</v>
      </c>
      <c r="F90" s="98">
        <f t="shared" si="30"/>
        <v>0</v>
      </c>
      <c r="G90" s="26">
        <f>B90+F90</f>
        <v>0</v>
      </c>
      <c r="H90" s="19">
        <v>30</v>
      </c>
      <c r="I90" s="19">
        <v>0</v>
      </c>
      <c r="J90" s="19">
        <v>0</v>
      </c>
      <c r="K90" s="19">
        <v>0</v>
      </c>
      <c r="L90" s="98">
        <f>SUM(I90:K90)*1.5</f>
        <v>0</v>
      </c>
      <c r="M90" s="26">
        <f>H90+L90</f>
        <v>30</v>
      </c>
      <c r="N90" s="26">
        <f>G90+M90</f>
        <v>30</v>
      </c>
      <c r="O90" s="26">
        <f t="shared" si="34"/>
        <v>15</v>
      </c>
    </row>
    <row r="91" spans="1:15" ht="18.75">
      <c r="A91" s="36" t="s">
        <v>77</v>
      </c>
      <c r="B91" s="37">
        <v>80.16</v>
      </c>
      <c r="C91" s="37">
        <v>0</v>
      </c>
      <c r="D91" s="37">
        <v>0</v>
      </c>
      <c r="E91" s="37">
        <v>0</v>
      </c>
      <c r="F91" s="99">
        <f t="shared" si="30"/>
        <v>0</v>
      </c>
      <c r="G91" s="99">
        <f t="shared" si="35"/>
        <v>80.16</v>
      </c>
      <c r="H91" s="37">
        <v>93.17</v>
      </c>
      <c r="I91" s="37">
        <v>0</v>
      </c>
      <c r="J91" s="37">
        <v>0</v>
      </c>
      <c r="K91" s="37">
        <v>0</v>
      </c>
      <c r="L91" s="99">
        <f t="shared" si="31"/>
        <v>0</v>
      </c>
      <c r="M91" s="99">
        <f t="shared" si="32"/>
        <v>93.17</v>
      </c>
      <c r="N91" s="99">
        <f t="shared" si="33"/>
        <v>173.32999999999998</v>
      </c>
      <c r="O91" s="99">
        <f t="shared" si="34"/>
        <v>86.66499999999999</v>
      </c>
    </row>
    <row r="92" spans="1:15" ht="18.75">
      <c r="A92" s="563" t="s">
        <v>0</v>
      </c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</row>
    <row r="93" spans="1:15" ht="18.75">
      <c r="A93" s="2"/>
      <c r="B93" s="564" t="s">
        <v>1</v>
      </c>
      <c r="C93" s="564"/>
      <c r="D93" s="564"/>
      <c r="E93" s="564"/>
      <c r="F93" s="564"/>
      <c r="G93" s="565"/>
      <c r="H93" s="564" t="s">
        <v>2</v>
      </c>
      <c r="I93" s="564"/>
      <c r="J93" s="564"/>
      <c r="K93" s="564"/>
      <c r="L93" s="564"/>
      <c r="M93" s="565"/>
      <c r="N93" s="3" t="s">
        <v>3</v>
      </c>
      <c r="O93" s="4"/>
    </row>
    <row r="94" spans="1:15" ht="18.75">
      <c r="A94" s="5" t="s">
        <v>4</v>
      </c>
      <c r="B94" s="566" t="s">
        <v>5</v>
      </c>
      <c r="C94" s="564"/>
      <c r="D94" s="564"/>
      <c r="E94" s="564"/>
      <c r="F94" s="565"/>
      <c r="G94" s="5" t="s">
        <v>3</v>
      </c>
      <c r="H94" s="566" t="s">
        <v>5</v>
      </c>
      <c r="I94" s="564"/>
      <c r="J94" s="564"/>
      <c r="K94" s="564"/>
      <c r="L94" s="565"/>
      <c r="M94" s="5" t="s">
        <v>3</v>
      </c>
      <c r="N94" s="6" t="s">
        <v>6</v>
      </c>
      <c r="O94" s="6" t="s">
        <v>7</v>
      </c>
    </row>
    <row r="95" spans="1:15" ht="18.75">
      <c r="A95" s="7"/>
      <c r="B95" s="8" t="s">
        <v>8</v>
      </c>
      <c r="C95" s="8" t="s">
        <v>9</v>
      </c>
      <c r="D95" s="8" t="s">
        <v>10</v>
      </c>
      <c r="E95" s="8" t="s">
        <v>11</v>
      </c>
      <c r="F95" s="8" t="s">
        <v>12</v>
      </c>
      <c r="G95" s="8" t="s">
        <v>13</v>
      </c>
      <c r="H95" s="8" t="s">
        <v>8</v>
      </c>
      <c r="I95" s="8" t="s">
        <v>9</v>
      </c>
      <c r="J95" s="8" t="s">
        <v>10</v>
      </c>
      <c r="K95" s="8" t="s">
        <v>11</v>
      </c>
      <c r="L95" s="8" t="s">
        <v>12</v>
      </c>
      <c r="M95" s="8" t="s">
        <v>13</v>
      </c>
      <c r="N95" s="9"/>
      <c r="O95" s="10"/>
    </row>
    <row r="96" spans="1:15" ht="18.75">
      <c r="A96" s="41" t="s">
        <v>78</v>
      </c>
      <c r="B96" s="29">
        <f aca="true" t="shared" si="36" ref="B96:O96">B97</f>
        <v>902.87</v>
      </c>
      <c r="C96" s="29">
        <f t="shared" si="36"/>
        <v>0</v>
      </c>
      <c r="D96" s="29">
        <f t="shared" si="36"/>
        <v>3.5</v>
      </c>
      <c r="E96" s="29">
        <f t="shared" si="36"/>
        <v>0</v>
      </c>
      <c r="F96" s="29">
        <f t="shared" si="36"/>
        <v>5.25</v>
      </c>
      <c r="G96" s="29">
        <f t="shared" si="36"/>
        <v>908.12</v>
      </c>
      <c r="H96" s="29">
        <f t="shared" si="36"/>
        <v>976.66</v>
      </c>
      <c r="I96" s="29">
        <f t="shared" si="36"/>
        <v>0</v>
      </c>
      <c r="J96" s="29">
        <f t="shared" si="36"/>
        <v>6.83</v>
      </c>
      <c r="K96" s="29">
        <f t="shared" si="36"/>
        <v>1.25</v>
      </c>
      <c r="L96" s="29">
        <f t="shared" si="36"/>
        <v>12.120000000000001</v>
      </c>
      <c r="M96" s="29">
        <f t="shared" si="36"/>
        <v>988.78</v>
      </c>
      <c r="N96" s="29">
        <f t="shared" si="36"/>
        <v>1896.9</v>
      </c>
      <c r="O96" s="29">
        <f t="shared" si="36"/>
        <v>948.45</v>
      </c>
    </row>
    <row r="97" spans="1:15" ht="18.75">
      <c r="A97" s="18" t="s">
        <v>79</v>
      </c>
      <c r="B97" s="19">
        <v>902.87</v>
      </c>
      <c r="C97" s="19">
        <v>0</v>
      </c>
      <c r="D97" s="19">
        <v>3.5</v>
      </c>
      <c r="E97" s="19">
        <v>0</v>
      </c>
      <c r="F97" s="26">
        <f>SUM(C97:E97)*1.5</f>
        <v>5.25</v>
      </c>
      <c r="G97" s="26">
        <f>B97+F97</f>
        <v>908.12</v>
      </c>
      <c r="H97" s="19">
        <v>976.66</v>
      </c>
      <c r="I97" s="19">
        <v>0</v>
      </c>
      <c r="J97" s="19">
        <v>6.83</v>
      </c>
      <c r="K97" s="19">
        <v>1.25</v>
      </c>
      <c r="L97" s="26">
        <f>SUM(I97:K97)*1.5</f>
        <v>12.120000000000001</v>
      </c>
      <c r="M97" s="26">
        <f>H97+L97</f>
        <v>988.78</v>
      </c>
      <c r="N97" s="26">
        <f>G97+M97</f>
        <v>1896.9</v>
      </c>
      <c r="O97" s="26">
        <f>N97/2</f>
        <v>948.45</v>
      </c>
    </row>
    <row r="98" spans="1:15" ht="18.75">
      <c r="A98" s="68" t="s">
        <v>80</v>
      </c>
      <c r="B98" s="69">
        <f aca="true" t="shared" si="37" ref="B98:O98">B99</f>
        <v>96.45</v>
      </c>
      <c r="C98" s="69">
        <f t="shared" si="37"/>
        <v>0</v>
      </c>
      <c r="D98" s="69">
        <f t="shared" si="37"/>
        <v>0</v>
      </c>
      <c r="E98" s="69">
        <f t="shared" si="37"/>
        <v>0</v>
      </c>
      <c r="F98" s="69">
        <f t="shared" si="37"/>
        <v>0</v>
      </c>
      <c r="G98" s="69">
        <f t="shared" si="37"/>
        <v>96.45</v>
      </c>
      <c r="H98" s="69">
        <f t="shared" si="37"/>
        <v>156.48</v>
      </c>
      <c r="I98" s="69">
        <f t="shared" si="37"/>
        <v>0</v>
      </c>
      <c r="J98" s="69">
        <f t="shared" si="37"/>
        <v>0</v>
      </c>
      <c r="K98" s="69">
        <f t="shared" si="37"/>
        <v>0</v>
      </c>
      <c r="L98" s="69">
        <f t="shared" si="37"/>
        <v>0</v>
      </c>
      <c r="M98" s="69">
        <f t="shared" si="37"/>
        <v>156.48</v>
      </c>
      <c r="N98" s="69">
        <f t="shared" si="37"/>
        <v>252.93</v>
      </c>
      <c r="O98" s="69">
        <f t="shared" si="37"/>
        <v>126.465</v>
      </c>
    </row>
    <row r="99" spans="1:15" ht="18.75">
      <c r="A99" s="72" t="s">
        <v>81</v>
      </c>
      <c r="B99" s="73">
        <v>96.45</v>
      </c>
      <c r="C99" s="73">
        <v>0</v>
      </c>
      <c r="D99" s="73">
        <v>0</v>
      </c>
      <c r="E99" s="73">
        <v>0</v>
      </c>
      <c r="F99" s="26">
        <f>SUM(C99:E99)*1.5</f>
        <v>0</v>
      </c>
      <c r="G99" s="100">
        <f>B99+F99</f>
        <v>96.45</v>
      </c>
      <c r="H99" s="73">
        <v>156.48</v>
      </c>
      <c r="I99" s="73">
        <v>0</v>
      </c>
      <c r="J99" s="73">
        <v>0</v>
      </c>
      <c r="K99" s="73">
        <v>0</v>
      </c>
      <c r="L99" s="26">
        <f>SUM(I99:K99)*1.5</f>
        <v>0</v>
      </c>
      <c r="M99" s="100">
        <f>H99+L99</f>
        <v>156.48</v>
      </c>
      <c r="N99" s="73">
        <f>G99+M99</f>
        <v>252.93</v>
      </c>
      <c r="O99" s="73">
        <f>N99/2</f>
        <v>126.465</v>
      </c>
    </row>
    <row r="100" spans="1:15" ht="18.75">
      <c r="A100" s="66" t="s">
        <v>82</v>
      </c>
      <c r="B100" s="101">
        <f aca="true" t="shared" si="38" ref="B100:O100">B101+B103</f>
        <v>0</v>
      </c>
      <c r="C100" s="101">
        <f t="shared" si="38"/>
        <v>0</v>
      </c>
      <c r="D100" s="101">
        <f t="shared" si="38"/>
        <v>5.5</v>
      </c>
      <c r="E100" s="101">
        <f t="shared" si="38"/>
        <v>0</v>
      </c>
      <c r="F100" s="101">
        <f t="shared" si="38"/>
        <v>8.25</v>
      </c>
      <c r="G100" s="101">
        <f t="shared" si="38"/>
        <v>8.25</v>
      </c>
      <c r="H100" s="101">
        <f t="shared" si="38"/>
        <v>0</v>
      </c>
      <c r="I100" s="101">
        <f t="shared" si="38"/>
        <v>0</v>
      </c>
      <c r="J100" s="101">
        <f t="shared" si="38"/>
        <v>8.83</v>
      </c>
      <c r="K100" s="101">
        <f t="shared" si="38"/>
        <v>0</v>
      </c>
      <c r="L100" s="101">
        <f t="shared" si="38"/>
        <v>13.245000000000001</v>
      </c>
      <c r="M100" s="101">
        <f t="shared" si="38"/>
        <v>13.245000000000001</v>
      </c>
      <c r="N100" s="101">
        <f t="shared" si="38"/>
        <v>21.495</v>
      </c>
      <c r="O100" s="101">
        <f t="shared" si="38"/>
        <v>10.7475</v>
      </c>
    </row>
    <row r="101" spans="1:15" ht="18.75">
      <c r="A101" s="72" t="s">
        <v>83</v>
      </c>
      <c r="B101" s="73">
        <v>0</v>
      </c>
      <c r="C101" s="73">
        <v>0</v>
      </c>
      <c r="D101" s="73">
        <v>4</v>
      </c>
      <c r="E101" s="73">
        <v>0</v>
      </c>
      <c r="F101" s="26">
        <f>SUM(C101:E101)*1.5</f>
        <v>6</v>
      </c>
      <c r="G101" s="100">
        <f>B101+F101</f>
        <v>6</v>
      </c>
      <c r="H101" s="73">
        <v>0</v>
      </c>
      <c r="I101" s="73">
        <v>0</v>
      </c>
      <c r="J101" s="73">
        <v>6.83</v>
      </c>
      <c r="K101" s="73">
        <v>0</v>
      </c>
      <c r="L101" s="26">
        <f>SUM(I101:K101)*1.5</f>
        <v>10.245000000000001</v>
      </c>
      <c r="M101" s="100">
        <f>H101+L101</f>
        <v>10.245000000000001</v>
      </c>
      <c r="N101" s="73">
        <f>G101+M101</f>
        <v>16.245</v>
      </c>
      <c r="O101" s="73">
        <f>N101/2</f>
        <v>8.1225</v>
      </c>
    </row>
    <row r="102" spans="1:15" ht="18.75">
      <c r="A102" s="102" t="s">
        <v>73</v>
      </c>
      <c r="B102" s="103">
        <v>0</v>
      </c>
      <c r="C102" s="103">
        <v>0</v>
      </c>
      <c r="D102" s="103">
        <v>1</v>
      </c>
      <c r="E102" s="103">
        <v>0</v>
      </c>
      <c r="F102" s="23">
        <f>SUM(C102:E102)*1.5</f>
        <v>1.5</v>
      </c>
      <c r="G102" s="103">
        <f>B102+F102</f>
        <v>1.5</v>
      </c>
      <c r="H102" s="103">
        <v>0</v>
      </c>
      <c r="I102" s="103">
        <v>0</v>
      </c>
      <c r="J102" s="103">
        <v>4</v>
      </c>
      <c r="K102" s="103">
        <v>0</v>
      </c>
      <c r="L102" s="23">
        <f>SUM(I102:K102)*1.5</f>
        <v>6</v>
      </c>
      <c r="M102" s="103">
        <f>H102+L102</f>
        <v>6</v>
      </c>
      <c r="N102" s="103">
        <f>G102+M102</f>
        <v>7.5</v>
      </c>
      <c r="O102" s="103">
        <f>N102/2</f>
        <v>3.75</v>
      </c>
    </row>
    <row r="103" spans="1:15" ht="18.75">
      <c r="A103" s="72" t="s">
        <v>84</v>
      </c>
      <c r="B103" s="73">
        <v>0</v>
      </c>
      <c r="C103" s="73">
        <v>0</v>
      </c>
      <c r="D103" s="73">
        <v>1.5</v>
      </c>
      <c r="E103" s="73">
        <v>0</v>
      </c>
      <c r="F103" s="26">
        <f>SUM(C103:E103)*1.5</f>
        <v>2.25</v>
      </c>
      <c r="G103" s="100">
        <f>B103+F103</f>
        <v>2.25</v>
      </c>
      <c r="H103" s="73">
        <v>0</v>
      </c>
      <c r="I103" s="73">
        <v>0</v>
      </c>
      <c r="J103" s="73">
        <v>2</v>
      </c>
      <c r="K103" s="73">
        <v>0</v>
      </c>
      <c r="L103" s="26">
        <f>SUM(I103:K103)*1.5</f>
        <v>3</v>
      </c>
      <c r="M103" s="100">
        <f>H103+L103</f>
        <v>3</v>
      </c>
      <c r="N103" s="73">
        <f>G103+M103</f>
        <v>5.25</v>
      </c>
      <c r="O103" s="73">
        <f>N103/2</f>
        <v>2.625</v>
      </c>
    </row>
    <row r="104" spans="1:15" ht="18.75">
      <c r="A104" s="104" t="s">
        <v>73</v>
      </c>
      <c r="B104" s="105">
        <v>0</v>
      </c>
      <c r="C104" s="105">
        <v>0</v>
      </c>
      <c r="D104" s="105">
        <v>9</v>
      </c>
      <c r="E104" s="105">
        <v>0</v>
      </c>
      <c r="F104" s="88">
        <f>SUM(C104:E104)*1.5</f>
        <v>13.5</v>
      </c>
      <c r="G104" s="105">
        <f>B104+F104</f>
        <v>13.5</v>
      </c>
      <c r="H104" s="105">
        <v>0</v>
      </c>
      <c r="I104" s="105">
        <v>0</v>
      </c>
      <c r="J104" s="105">
        <v>0</v>
      </c>
      <c r="K104" s="105">
        <v>0</v>
      </c>
      <c r="L104" s="88">
        <f>SUM(I104:K104)*1.5</f>
        <v>0</v>
      </c>
      <c r="M104" s="105">
        <f>H104+L104</f>
        <v>0</v>
      </c>
      <c r="N104" s="105">
        <f>G104+M104</f>
        <v>13.5</v>
      </c>
      <c r="O104" s="105">
        <f>N104/2</f>
        <v>6.75</v>
      </c>
    </row>
    <row r="105" spans="1:15" ht="18.75">
      <c r="A105" s="27" t="s">
        <v>85</v>
      </c>
      <c r="B105" s="28">
        <f aca="true" t="shared" si="39" ref="B105:O105">B106+B110+B117+B121+B127+B130</f>
        <v>1872.46</v>
      </c>
      <c r="C105" s="28">
        <f t="shared" si="39"/>
        <v>0</v>
      </c>
      <c r="D105" s="28">
        <f t="shared" si="39"/>
        <v>19.17</v>
      </c>
      <c r="E105" s="28">
        <f t="shared" si="39"/>
        <v>0</v>
      </c>
      <c r="F105" s="28">
        <f t="shared" si="39"/>
        <v>47.925</v>
      </c>
      <c r="G105" s="28">
        <f t="shared" si="39"/>
        <v>1920.385</v>
      </c>
      <c r="H105" s="28">
        <f t="shared" si="39"/>
        <v>2247.17</v>
      </c>
      <c r="I105" s="28">
        <f t="shared" si="39"/>
        <v>0</v>
      </c>
      <c r="J105" s="28">
        <f t="shared" si="39"/>
        <v>18.33</v>
      </c>
      <c r="K105" s="28">
        <f t="shared" si="39"/>
        <v>0</v>
      </c>
      <c r="L105" s="28">
        <f t="shared" si="39"/>
        <v>45.825</v>
      </c>
      <c r="M105" s="28">
        <f t="shared" si="39"/>
        <v>2292.995</v>
      </c>
      <c r="N105" s="28">
        <f t="shared" si="39"/>
        <v>4213.38</v>
      </c>
      <c r="O105" s="28">
        <f t="shared" si="39"/>
        <v>2106.69</v>
      </c>
    </row>
    <row r="106" spans="1:15" ht="18.75">
      <c r="A106" s="15" t="s">
        <v>86</v>
      </c>
      <c r="B106" s="17">
        <f aca="true" t="shared" si="40" ref="B106:O106">B107+B109</f>
        <v>385.33</v>
      </c>
      <c r="C106" s="17">
        <f t="shared" si="40"/>
        <v>0</v>
      </c>
      <c r="D106" s="17">
        <f t="shared" si="40"/>
        <v>2.5</v>
      </c>
      <c r="E106" s="17">
        <f t="shared" si="40"/>
        <v>0</v>
      </c>
      <c r="F106" s="17">
        <f t="shared" si="40"/>
        <v>6.25</v>
      </c>
      <c r="G106" s="17">
        <f t="shared" si="40"/>
        <v>391.58</v>
      </c>
      <c r="H106" s="17">
        <f t="shared" si="40"/>
        <v>538.17</v>
      </c>
      <c r="I106" s="17">
        <f t="shared" si="40"/>
        <v>0</v>
      </c>
      <c r="J106" s="17">
        <f t="shared" si="40"/>
        <v>1</v>
      </c>
      <c r="K106" s="17">
        <f t="shared" si="40"/>
        <v>0</v>
      </c>
      <c r="L106" s="17">
        <f t="shared" si="40"/>
        <v>2.5</v>
      </c>
      <c r="M106" s="17">
        <f t="shared" si="40"/>
        <v>540.67</v>
      </c>
      <c r="N106" s="17">
        <f t="shared" si="40"/>
        <v>932.25</v>
      </c>
      <c r="O106" s="17">
        <f t="shared" si="40"/>
        <v>466.125</v>
      </c>
    </row>
    <row r="107" spans="1:15" ht="18.75">
      <c r="A107" s="18" t="s">
        <v>87</v>
      </c>
      <c r="B107" s="19">
        <v>281.78</v>
      </c>
      <c r="C107" s="19">
        <v>0</v>
      </c>
      <c r="D107" s="19">
        <v>2.5</v>
      </c>
      <c r="E107" s="19">
        <v>0</v>
      </c>
      <c r="F107" s="19">
        <f aca="true" t="shared" si="41" ref="F107:F112">SUM(C107:E107)*2.5</f>
        <v>6.25</v>
      </c>
      <c r="G107" s="20">
        <f aca="true" t="shared" si="42" ref="G107:G112">B107+F107</f>
        <v>288.03</v>
      </c>
      <c r="H107" s="19">
        <v>447.51</v>
      </c>
      <c r="I107" s="19">
        <v>0</v>
      </c>
      <c r="J107" s="19">
        <v>1</v>
      </c>
      <c r="K107" s="19">
        <v>0</v>
      </c>
      <c r="L107" s="19">
        <f aca="true" t="shared" si="43" ref="L107:L112">SUM(I107:K107)*2.5</f>
        <v>2.5</v>
      </c>
      <c r="M107" s="20">
        <f aca="true" t="shared" si="44" ref="M107:M112">H107+L107</f>
        <v>450.01</v>
      </c>
      <c r="N107" s="19">
        <f aca="true" t="shared" si="45" ref="N107:N112">G107+M107</f>
        <v>738.04</v>
      </c>
      <c r="O107" s="19">
        <f aca="true" t="shared" si="46" ref="O107:O112">N107/2</f>
        <v>369.02</v>
      </c>
    </row>
    <row r="108" spans="1:15" ht="18.75">
      <c r="A108" s="22" t="s">
        <v>23</v>
      </c>
      <c r="B108" s="23">
        <v>0</v>
      </c>
      <c r="C108" s="23">
        <v>0</v>
      </c>
      <c r="D108" s="23">
        <v>5.5</v>
      </c>
      <c r="E108" s="23">
        <v>0</v>
      </c>
      <c r="F108" s="23">
        <f t="shared" si="41"/>
        <v>13.75</v>
      </c>
      <c r="G108" s="24">
        <f t="shared" si="42"/>
        <v>13.75</v>
      </c>
      <c r="H108" s="23">
        <v>0</v>
      </c>
      <c r="I108" s="23">
        <v>0</v>
      </c>
      <c r="J108" s="23">
        <v>1</v>
      </c>
      <c r="K108" s="23">
        <v>0</v>
      </c>
      <c r="L108" s="23">
        <f t="shared" si="43"/>
        <v>2.5</v>
      </c>
      <c r="M108" s="24">
        <f t="shared" si="44"/>
        <v>2.5</v>
      </c>
      <c r="N108" s="23">
        <f t="shared" si="45"/>
        <v>16.25</v>
      </c>
      <c r="O108" s="23">
        <f t="shared" si="46"/>
        <v>8.125</v>
      </c>
    </row>
    <row r="109" spans="1:15" ht="18.75">
      <c r="A109" s="18" t="s">
        <v>88</v>
      </c>
      <c r="B109" s="19">
        <v>103.55</v>
      </c>
      <c r="C109" s="19">
        <v>0</v>
      </c>
      <c r="D109" s="19">
        <v>0</v>
      </c>
      <c r="E109" s="19">
        <v>0</v>
      </c>
      <c r="F109" s="26">
        <f t="shared" si="41"/>
        <v>0</v>
      </c>
      <c r="G109" s="20">
        <f t="shared" si="42"/>
        <v>103.55</v>
      </c>
      <c r="H109" s="19">
        <v>90.66</v>
      </c>
      <c r="I109" s="19">
        <v>0</v>
      </c>
      <c r="J109" s="19">
        <v>0</v>
      </c>
      <c r="K109" s="19">
        <v>0</v>
      </c>
      <c r="L109" s="26">
        <f t="shared" si="43"/>
        <v>0</v>
      </c>
      <c r="M109" s="20">
        <f t="shared" si="44"/>
        <v>90.66</v>
      </c>
      <c r="N109" s="19">
        <f t="shared" si="45"/>
        <v>194.20999999999998</v>
      </c>
      <c r="O109" s="19">
        <f t="shared" si="46"/>
        <v>97.10499999999999</v>
      </c>
    </row>
    <row r="110" spans="1:15" ht="18.75">
      <c r="A110" s="15" t="s">
        <v>89</v>
      </c>
      <c r="B110" s="16">
        <f>SUM(B111:B112)</f>
        <v>259.78</v>
      </c>
      <c r="C110" s="16">
        <f aca="true" t="shared" si="47" ref="C110:O110">SUM(C111:C112)</f>
        <v>0</v>
      </c>
      <c r="D110" s="16">
        <f t="shared" si="47"/>
        <v>0</v>
      </c>
      <c r="E110" s="16">
        <f t="shared" si="47"/>
        <v>0</v>
      </c>
      <c r="F110" s="16">
        <f t="shared" si="47"/>
        <v>0</v>
      </c>
      <c r="G110" s="16">
        <f t="shared" si="47"/>
        <v>259.78</v>
      </c>
      <c r="H110" s="16">
        <f t="shared" si="47"/>
        <v>256.04</v>
      </c>
      <c r="I110" s="16">
        <f t="shared" si="47"/>
        <v>0</v>
      </c>
      <c r="J110" s="16">
        <f t="shared" si="47"/>
        <v>0</v>
      </c>
      <c r="K110" s="16">
        <f t="shared" si="47"/>
        <v>0</v>
      </c>
      <c r="L110" s="16">
        <f t="shared" si="47"/>
        <v>0</v>
      </c>
      <c r="M110" s="16">
        <f t="shared" si="47"/>
        <v>256.04</v>
      </c>
      <c r="N110" s="16">
        <f t="shared" si="47"/>
        <v>515.8199999999999</v>
      </c>
      <c r="O110" s="16">
        <f t="shared" si="47"/>
        <v>257.90999999999997</v>
      </c>
    </row>
    <row r="111" spans="1:15" ht="18.75">
      <c r="A111" s="18" t="s">
        <v>90</v>
      </c>
      <c r="B111" s="19">
        <v>174.19</v>
      </c>
      <c r="C111" s="19">
        <v>0</v>
      </c>
      <c r="D111" s="19">
        <v>0</v>
      </c>
      <c r="E111" s="19">
        <v>0</v>
      </c>
      <c r="F111" s="26">
        <f>SUM(C111:E111)*2.5</f>
        <v>0</v>
      </c>
      <c r="G111" s="20">
        <f>B111+F111</f>
        <v>174.19</v>
      </c>
      <c r="H111" s="19">
        <v>159.87</v>
      </c>
      <c r="I111" s="19">
        <v>0</v>
      </c>
      <c r="J111" s="19">
        <v>0</v>
      </c>
      <c r="K111" s="19">
        <v>0</v>
      </c>
      <c r="L111" s="26">
        <f>SUM(I111:K111)*2.5</f>
        <v>0</v>
      </c>
      <c r="M111" s="20">
        <f>H111+L111</f>
        <v>159.87</v>
      </c>
      <c r="N111" s="19">
        <f>G111+M111</f>
        <v>334.06</v>
      </c>
      <c r="O111" s="19">
        <f t="shared" si="46"/>
        <v>167.03</v>
      </c>
    </row>
    <row r="112" spans="1:15" ht="18.75">
      <c r="A112" s="36" t="s">
        <v>91</v>
      </c>
      <c r="B112" s="37">
        <v>85.59</v>
      </c>
      <c r="C112" s="37">
        <v>0</v>
      </c>
      <c r="D112" s="37">
        <v>0</v>
      </c>
      <c r="E112" s="37">
        <v>0</v>
      </c>
      <c r="F112" s="99">
        <f t="shared" si="41"/>
        <v>0</v>
      </c>
      <c r="G112" s="38">
        <f t="shared" si="42"/>
        <v>85.59</v>
      </c>
      <c r="H112" s="37">
        <v>96.17</v>
      </c>
      <c r="I112" s="37">
        <v>0</v>
      </c>
      <c r="J112" s="37">
        <v>0</v>
      </c>
      <c r="K112" s="37">
        <v>0</v>
      </c>
      <c r="L112" s="99">
        <f t="shared" si="43"/>
        <v>0</v>
      </c>
      <c r="M112" s="38">
        <f t="shared" si="44"/>
        <v>96.17</v>
      </c>
      <c r="N112" s="37">
        <f t="shared" si="45"/>
        <v>181.76</v>
      </c>
      <c r="O112" s="37">
        <f t="shared" si="46"/>
        <v>90.88</v>
      </c>
    </row>
    <row r="113" spans="1:15" ht="18.75">
      <c r="A113" s="563" t="s">
        <v>0</v>
      </c>
      <c r="B113" s="563"/>
      <c r="C113" s="563"/>
      <c r="D113" s="563"/>
      <c r="E113" s="563"/>
      <c r="F113" s="563"/>
      <c r="G113" s="563"/>
      <c r="H113" s="563"/>
      <c r="I113" s="563"/>
      <c r="J113" s="563"/>
      <c r="K113" s="563"/>
      <c r="L113" s="563"/>
      <c r="M113" s="563"/>
      <c r="N113" s="563"/>
      <c r="O113" s="563"/>
    </row>
    <row r="114" spans="1:15" ht="18.75">
      <c r="A114" s="2"/>
      <c r="B114" s="564" t="s">
        <v>1</v>
      </c>
      <c r="C114" s="564"/>
      <c r="D114" s="564"/>
      <c r="E114" s="564"/>
      <c r="F114" s="564"/>
      <c r="G114" s="565"/>
      <c r="H114" s="564" t="s">
        <v>2</v>
      </c>
      <c r="I114" s="564"/>
      <c r="J114" s="564"/>
      <c r="K114" s="564"/>
      <c r="L114" s="564"/>
      <c r="M114" s="565"/>
      <c r="N114" s="3" t="s">
        <v>3</v>
      </c>
      <c r="O114" s="4"/>
    </row>
    <row r="115" spans="1:15" ht="18.75">
      <c r="A115" s="5" t="s">
        <v>4</v>
      </c>
      <c r="B115" s="566" t="s">
        <v>5</v>
      </c>
      <c r="C115" s="564"/>
      <c r="D115" s="564"/>
      <c r="E115" s="564"/>
      <c r="F115" s="565"/>
      <c r="G115" s="5" t="s">
        <v>3</v>
      </c>
      <c r="H115" s="566" t="s">
        <v>5</v>
      </c>
      <c r="I115" s="564"/>
      <c r="J115" s="564"/>
      <c r="K115" s="564"/>
      <c r="L115" s="565"/>
      <c r="M115" s="5" t="s">
        <v>3</v>
      </c>
      <c r="N115" s="6" t="s">
        <v>6</v>
      </c>
      <c r="O115" s="6" t="s">
        <v>7</v>
      </c>
    </row>
    <row r="116" spans="1:15" ht="18.75">
      <c r="A116" s="7"/>
      <c r="B116" s="8" t="s">
        <v>8</v>
      </c>
      <c r="C116" s="8" t="s">
        <v>9</v>
      </c>
      <c r="D116" s="8" t="s">
        <v>10</v>
      </c>
      <c r="E116" s="8" t="s">
        <v>11</v>
      </c>
      <c r="F116" s="8" t="s">
        <v>12</v>
      </c>
      <c r="G116" s="8" t="s">
        <v>13</v>
      </c>
      <c r="H116" s="8" t="s">
        <v>8</v>
      </c>
      <c r="I116" s="8" t="s">
        <v>9</v>
      </c>
      <c r="J116" s="8" t="s">
        <v>10</v>
      </c>
      <c r="K116" s="8" t="s">
        <v>11</v>
      </c>
      <c r="L116" s="8" t="s">
        <v>12</v>
      </c>
      <c r="M116" s="8" t="s">
        <v>13</v>
      </c>
      <c r="N116" s="9"/>
      <c r="O116" s="10"/>
    </row>
    <row r="117" spans="1:15" ht="18.75">
      <c r="A117" s="41" t="s">
        <v>92</v>
      </c>
      <c r="B117" s="42">
        <f aca="true" t="shared" si="48" ref="B117:O117">B118+B120</f>
        <v>232.01</v>
      </c>
      <c r="C117" s="42">
        <f t="shared" si="48"/>
        <v>0</v>
      </c>
      <c r="D117" s="42">
        <f t="shared" si="48"/>
        <v>9.75</v>
      </c>
      <c r="E117" s="42">
        <f t="shared" si="48"/>
        <v>0</v>
      </c>
      <c r="F117" s="42">
        <f t="shared" si="48"/>
        <v>24.375</v>
      </c>
      <c r="G117" s="42">
        <f t="shared" si="48"/>
        <v>256.385</v>
      </c>
      <c r="H117" s="42">
        <f t="shared" si="48"/>
        <v>243.45</v>
      </c>
      <c r="I117" s="42">
        <f t="shared" si="48"/>
        <v>0</v>
      </c>
      <c r="J117" s="42">
        <f t="shared" si="48"/>
        <v>8.42</v>
      </c>
      <c r="K117" s="42">
        <f t="shared" si="48"/>
        <v>0</v>
      </c>
      <c r="L117" s="42">
        <f t="shared" si="48"/>
        <v>21.05</v>
      </c>
      <c r="M117" s="42">
        <f t="shared" si="48"/>
        <v>264.5</v>
      </c>
      <c r="N117" s="42">
        <f t="shared" si="48"/>
        <v>520.885</v>
      </c>
      <c r="O117" s="42">
        <f t="shared" si="48"/>
        <v>260.4425</v>
      </c>
    </row>
    <row r="118" spans="1:15" ht="18.75">
      <c r="A118" s="18" t="s">
        <v>93</v>
      </c>
      <c r="B118" s="19">
        <v>226.39</v>
      </c>
      <c r="C118" s="19">
        <v>0</v>
      </c>
      <c r="D118" s="19">
        <v>9.75</v>
      </c>
      <c r="E118" s="19">
        <v>0</v>
      </c>
      <c r="F118" s="26">
        <f>SUM(C118:E118)*2.5</f>
        <v>24.375</v>
      </c>
      <c r="G118" s="20">
        <f>B118+F118</f>
        <v>250.765</v>
      </c>
      <c r="H118" s="19">
        <v>238</v>
      </c>
      <c r="I118" s="19">
        <v>0</v>
      </c>
      <c r="J118" s="19">
        <v>8.42</v>
      </c>
      <c r="K118" s="19">
        <v>0</v>
      </c>
      <c r="L118" s="26">
        <f>SUM(I118:K118)*2.5</f>
        <v>21.05</v>
      </c>
      <c r="M118" s="20">
        <f>H118+L118</f>
        <v>259.05</v>
      </c>
      <c r="N118" s="19">
        <f>G118+M118</f>
        <v>509.815</v>
      </c>
      <c r="O118" s="19">
        <f>N118/2</f>
        <v>254.9075</v>
      </c>
    </row>
    <row r="119" spans="1:15" ht="18.75">
      <c r="A119" s="22" t="s">
        <v>23</v>
      </c>
      <c r="B119" s="23">
        <v>0</v>
      </c>
      <c r="C119" s="23">
        <v>0</v>
      </c>
      <c r="D119" s="23">
        <v>3</v>
      </c>
      <c r="E119" s="23">
        <v>0</v>
      </c>
      <c r="F119" s="23">
        <f>SUM(C119:E119)*2.5</f>
        <v>7.5</v>
      </c>
      <c r="G119" s="24">
        <f>B119+F119</f>
        <v>7.5</v>
      </c>
      <c r="H119" s="23">
        <v>0</v>
      </c>
      <c r="I119" s="23">
        <v>0</v>
      </c>
      <c r="J119" s="23">
        <v>4.5</v>
      </c>
      <c r="K119" s="23">
        <v>0</v>
      </c>
      <c r="L119" s="23">
        <f>SUM(I119:K119)*2.5</f>
        <v>11.25</v>
      </c>
      <c r="M119" s="24">
        <f>H119+L119</f>
        <v>11.25</v>
      </c>
      <c r="N119" s="23">
        <f>G119+M119</f>
        <v>18.75</v>
      </c>
      <c r="O119" s="23">
        <f>N119/2</f>
        <v>9.375</v>
      </c>
    </row>
    <row r="120" spans="1:15" ht="18.75">
      <c r="A120" s="18" t="s">
        <v>94</v>
      </c>
      <c r="B120" s="19">
        <v>5.62</v>
      </c>
      <c r="C120" s="19">
        <v>0</v>
      </c>
      <c r="D120" s="19">
        <v>0</v>
      </c>
      <c r="E120" s="19">
        <v>0</v>
      </c>
      <c r="F120" s="26">
        <f>SUM(C120:E120)*2.5</f>
        <v>0</v>
      </c>
      <c r="G120" s="20">
        <f>B120+F120</f>
        <v>5.62</v>
      </c>
      <c r="H120" s="19">
        <v>5.45</v>
      </c>
      <c r="I120" s="19">
        <v>0</v>
      </c>
      <c r="J120" s="19">
        <v>0</v>
      </c>
      <c r="K120" s="19">
        <v>0</v>
      </c>
      <c r="L120" s="26">
        <f>SUM(I120:K120)*2.5</f>
        <v>0</v>
      </c>
      <c r="M120" s="20">
        <f>H120+L120</f>
        <v>5.45</v>
      </c>
      <c r="N120" s="19">
        <f>G120+M120</f>
        <v>11.07</v>
      </c>
      <c r="O120" s="19">
        <f>N120/2</f>
        <v>5.535</v>
      </c>
    </row>
    <row r="121" spans="1:15" ht="18.75">
      <c r="A121" s="15" t="s">
        <v>95</v>
      </c>
      <c r="B121" s="17">
        <f aca="true" t="shared" si="49" ref="B121:O121">B122+B124+B126</f>
        <v>306.74</v>
      </c>
      <c r="C121" s="17">
        <f t="shared" si="49"/>
        <v>0</v>
      </c>
      <c r="D121" s="17">
        <f t="shared" si="49"/>
        <v>3.17</v>
      </c>
      <c r="E121" s="17">
        <f t="shared" si="49"/>
        <v>0</v>
      </c>
      <c r="F121" s="17">
        <f t="shared" si="49"/>
        <v>7.925</v>
      </c>
      <c r="G121" s="17">
        <f t="shared" si="49"/>
        <v>314.665</v>
      </c>
      <c r="H121" s="17">
        <f t="shared" si="49"/>
        <v>422.51</v>
      </c>
      <c r="I121" s="17">
        <f t="shared" si="49"/>
        <v>0</v>
      </c>
      <c r="J121" s="17">
        <f t="shared" si="49"/>
        <v>5.83</v>
      </c>
      <c r="K121" s="17">
        <f t="shared" si="49"/>
        <v>0</v>
      </c>
      <c r="L121" s="17">
        <f t="shared" si="49"/>
        <v>14.575</v>
      </c>
      <c r="M121" s="17">
        <f t="shared" si="49"/>
        <v>437.085</v>
      </c>
      <c r="N121" s="17">
        <f t="shared" si="49"/>
        <v>751.75</v>
      </c>
      <c r="O121" s="17">
        <f t="shared" si="49"/>
        <v>375.875</v>
      </c>
    </row>
    <row r="122" spans="1:15" ht="18.75">
      <c r="A122" s="54" t="s">
        <v>96</v>
      </c>
      <c r="B122" s="55">
        <v>303.57</v>
      </c>
      <c r="C122" s="55">
        <v>0</v>
      </c>
      <c r="D122" s="55">
        <v>1.67</v>
      </c>
      <c r="E122" s="55">
        <v>0</v>
      </c>
      <c r="F122" s="98">
        <f>SUM(C122:E122)*2.5</f>
        <v>4.175</v>
      </c>
      <c r="G122" s="106">
        <f>B122+F122</f>
        <v>307.745</v>
      </c>
      <c r="H122" s="55">
        <v>408.96</v>
      </c>
      <c r="I122" s="55">
        <v>0</v>
      </c>
      <c r="J122" s="55">
        <v>0.75</v>
      </c>
      <c r="K122" s="55">
        <v>0</v>
      </c>
      <c r="L122" s="98">
        <f>SUM(I122:K122)*2.5</f>
        <v>1.875</v>
      </c>
      <c r="M122" s="106">
        <f>H122+L122</f>
        <v>410.835</v>
      </c>
      <c r="N122" s="55">
        <f>G122+M122</f>
        <v>718.5799999999999</v>
      </c>
      <c r="O122" s="55">
        <f>N122/2</f>
        <v>359.28999999999996</v>
      </c>
    </row>
    <row r="123" spans="1:15" ht="18.75">
      <c r="A123" s="107" t="s">
        <v>23</v>
      </c>
      <c r="B123" s="88">
        <v>0</v>
      </c>
      <c r="C123" s="88">
        <v>0</v>
      </c>
      <c r="D123" s="88">
        <v>1</v>
      </c>
      <c r="E123" s="88">
        <v>0</v>
      </c>
      <c r="F123" s="108">
        <f>SUM(C123:E123)*2.5</f>
        <v>2.5</v>
      </c>
      <c r="G123" s="49">
        <f>B123+F123</f>
        <v>2.5</v>
      </c>
      <c r="H123" s="88">
        <v>0</v>
      </c>
      <c r="I123" s="88">
        <v>0</v>
      </c>
      <c r="J123" s="88">
        <v>0.5</v>
      </c>
      <c r="K123" s="88">
        <v>0</v>
      </c>
      <c r="L123" s="108">
        <f>SUM(I123:K123)*2.5</f>
        <v>1.25</v>
      </c>
      <c r="M123" s="49">
        <f>H123+L123</f>
        <v>1.25</v>
      </c>
      <c r="N123" s="88">
        <f>G123+M123</f>
        <v>3.75</v>
      </c>
      <c r="O123" s="88">
        <f>N123/2</f>
        <v>1.875</v>
      </c>
    </row>
    <row r="124" spans="1:15" ht="18.75">
      <c r="A124" s="54" t="s">
        <v>97</v>
      </c>
      <c r="B124" s="55">
        <v>0</v>
      </c>
      <c r="C124" s="55">
        <v>0</v>
      </c>
      <c r="D124" s="55">
        <v>1.5</v>
      </c>
      <c r="E124" s="55">
        <v>0</v>
      </c>
      <c r="F124" s="98">
        <f>SUM(C124:E124)*2.5</f>
        <v>3.75</v>
      </c>
      <c r="G124" s="106">
        <f>B124+F124</f>
        <v>3.75</v>
      </c>
      <c r="H124" s="55">
        <v>0</v>
      </c>
      <c r="I124" s="55">
        <v>0</v>
      </c>
      <c r="J124" s="55">
        <v>5.08</v>
      </c>
      <c r="K124" s="55">
        <v>0</v>
      </c>
      <c r="L124" s="98">
        <f>SUM(I124:K124)*2.5</f>
        <v>12.7</v>
      </c>
      <c r="M124" s="106">
        <f>H124+L124</f>
        <v>12.7</v>
      </c>
      <c r="N124" s="55">
        <f>G124+M124</f>
        <v>16.45</v>
      </c>
      <c r="O124" s="55">
        <f>N124/2</f>
        <v>8.225</v>
      </c>
    </row>
    <row r="125" spans="1:15" ht="18.75">
      <c r="A125" s="107" t="s">
        <v>23</v>
      </c>
      <c r="B125" s="88">
        <v>0</v>
      </c>
      <c r="C125" s="88">
        <v>0</v>
      </c>
      <c r="D125" s="88">
        <v>3</v>
      </c>
      <c r="E125" s="88">
        <v>0</v>
      </c>
      <c r="F125" s="108">
        <f>SUM(C125:E125)*2.5</f>
        <v>7.5</v>
      </c>
      <c r="G125" s="49">
        <f>B125+F125</f>
        <v>7.5</v>
      </c>
      <c r="H125" s="88">
        <v>0</v>
      </c>
      <c r="I125" s="88">
        <v>0</v>
      </c>
      <c r="J125" s="88">
        <v>0</v>
      </c>
      <c r="K125" s="88">
        <v>0</v>
      </c>
      <c r="L125" s="108">
        <f>SUM(I125:K125)*2.5</f>
        <v>0</v>
      </c>
      <c r="M125" s="49">
        <f>H125+L125</f>
        <v>0</v>
      </c>
      <c r="N125" s="88">
        <f>G125+M125</f>
        <v>7.5</v>
      </c>
      <c r="O125" s="88">
        <f>N125/2</f>
        <v>3.75</v>
      </c>
    </row>
    <row r="126" spans="1:15" ht="18.75">
      <c r="A126" s="54" t="s">
        <v>98</v>
      </c>
      <c r="B126" s="55">
        <v>3.17</v>
      </c>
      <c r="C126" s="55">
        <v>0</v>
      </c>
      <c r="D126" s="55">
        <v>0</v>
      </c>
      <c r="E126" s="55">
        <v>0</v>
      </c>
      <c r="F126" s="97">
        <f>SUM(C126:E126)*2.5</f>
        <v>0</v>
      </c>
      <c r="G126" s="106">
        <f>B126+F126</f>
        <v>3.17</v>
      </c>
      <c r="H126" s="55">
        <v>13.55</v>
      </c>
      <c r="I126" s="55">
        <v>0</v>
      </c>
      <c r="J126" s="55">
        <v>0</v>
      </c>
      <c r="K126" s="55">
        <v>0</v>
      </c>
      <c r="L126" s="97">
        <f>SUM(I126:K126)*2.5</f>
        <v>0</v>
      </c>
      <c r="M126" s="106">
        <f>H126+L126</f>
        <v>13.55</v>
      </c>
      <c r="N126" s="55">
        <f>G126+M126</f>
        <v>16.72</v>
      </c>
      <c r="O126" s="55">
        <f>N126/2</f>
        <v>8.36</v>
      </c>
    </row>
    <row r="127" spans="1:15" ht="18.75">
      <c r="A127" s="15" t="s">
        <v>99</v>
      </c>
      <c r="B127" s="17">
        <f>B128</f>
        <v>430.18</v>
      </c>
      <c r="C127" s="17">
        <f aca="true" t="shared" si="50" ref="C127:O127">C128</f>
        <v>0</v>
      </c>
      <c r="D127" s="17">
        <f t="shared" si="50"/>
        <v>3.75</v>
      </c>
      <c r="E127" s="17">
        <f t="shared" si="50"/>
        <v>0</v>
      </c>
      <c r="F127" s="17">
        <f t="shared" si="50"/>
        <v>9.375</v>
      </c>
      <c r="G127" s="17">
        <f t="shared" si="50"/>
        <v>439.555</v>
      </c>
      <c r="H127" s="17">
        <f t="shared" si="50"/>
        <v>512.11</v>
      </c>
      <c r="I127" s="17">
        <f t="shared" si="50"/>
        <v>0</v>
      </c>
      <c r="J127" s="17">
        <f t="shared" si="50"/>
        <v>3.08</v>
      </c>
      <c r="K127" s="17">
        <f t="shared" si="50"/>
        <v>0</v>
      </c>
      <c r="L127" s="17">
        <f t="shared" si="50"/>
        <v>7.7</v>
      </c>
      <c r="M127" s="17">
        <f t="shared" si="50"/>
        <v>519.8100000000001</v>
      </c>
      <c r="N127" s="17">
        <f t="shared" si="50"/>
        <v>959.365</v>
      </c>
      <c r="O127" s="17">
        <f t="shared" si="50"/>
        <v>479.6825</v>
      </c>
    </row>
    <row r="128" spans="1:15" ht="18.75">
      <c r="A128" s="18" t="s">
        <v>100</v>
      </c>
      <c r="B128" s="19">
        <v>430.18</v>
      </c>
      <c r="C128" s="19">
        <v>0</v>
      </c>
      <c r="D128" s="19">
        <v>3.75</v>
      </c>
      <c r="E128" s="19">
        <v>0</v>
      </c>
      <c r="F128" s="26">
        <f>SUM(C128:E128)*2.5</f>
        <v>9.375</v>
      </c>
      <c r="G128" s="20">
        <f>B128+F128</f>
        <v>439.555</v>
      </c>
      <c r="H128" s="19">
        <v>512.11</v>
      </c>
      <c r="I128" s="19">
        <v>0</v>
      </c>
      <c r="J128" s="19">
        <v>3.08</v>
      </c>
      <c r="K128" s="19">
        <v>0</v>
      </c>
      <c r="L128" s="26">
        <f>SUM(I128:K128)*2.5</f>
        <v>7.7</v>
      </c>
      <c r="M128" s="20">
        <f>H128+L128</f>
        <v>519.8100000000001</v>
      </c>
      <c r="N128" s="26">
        <f>G128+M128</f>
        <v>959.365</v>
      </c>
      <c r="O128" s="19">
        <f>N128/2</f>
        <v>479.6825</v>
      </c>
    </row>
    <row r="129" spans="1:15" ht="18.75">
      <c r="A129" s="22" t="s">
        <v>23</v>
      </c>
      <c r="B129" s="23">
        <v>0</v>
      </c>
      <c r="C129" s="23">
        <v>0</v>
      </c>
      <c r="D129" s="23">
        <v>2.67</v>
      </c>
      <c r="E129" s="23">
        <v>0</v>
      </c>
      <c r="F129" s="23">
        <f>SUM(C129:E129)*2.5</f>
        <v>6.675</v>
      </c>
      <c r="G129" s="24">
        <f>B129+F129</f>
        <v>6.675</v>
      </c>
      <c r="H129" s="23">
        <v>0</v>
      </c>
      <c r="I129" s="23">
        <v>0</v>
      </c>
      <c r="J129" s="23">
        <v>3.25</v>
      </c>
      <c r="K129" s="23">
        <v>0</v>
      </c>
      <c r="L129" s="23">
        <f>SUM(I129:K129)*2.5</f>
        <v>8.125</v>
      </c>
      <c r="M129" s="24">
        <f>H129+L129</f>
        <v>8.125</v>
      </c>
      <c r="N129" s="23">
        <f>G129+M129</f>
        <v>14.8</v>
      </c>
      <c r="O129" s="23">
        <f>N129/2</f>
        <v>7.4</v>
      </c>
    </row>
    <row r="130" spans="1:15" ht="18.75">
      <c r="A130" s="15" t="s">
        <v>101</v>
      </c>
      <c r="B130" s="16">
        <f>SUM(B131:B132)</f>
        <v>258.42</v>
      </c>
      <c r="C130" s="16">
        <f aca="true" t="shared" si="51" ref="C130:O130">SUM(C131:C132)</f>
        <v>0</v>
      </c>
      <c r="D130" s="16">
        <f t="shared" si="51"/>
        <v>0</v>
      </c>
      <c r="E130" s="16">
        <f t="shared" si="51"/>
        <v>0</v>
      </c>
      <c r="F130" s="16">
        <f t="shared" si="51"/>
        <v>0</v>
      </c>
      <c r="G130" s="16">
        <f t="shared" si="51"/>
        <v>258.42</v>
      </c>
      <c r="H130" s="16">
        <f t="shared" si="51"/>
        <v>274.89</v>
      </c>
      <c r="I130" s="16">
        <f t="shared" si="51"/>
        <v>0</v>
      </c>
      <c r="J130" s="16">
        <f t="shared" si="51"/>
        <v>0</v>
      </c>
      <c r="K130" s="16">
        <f t="shared" si="51"/>
        <v>0</v>
      </c>
      <c r="L130" s="16">
        <f t="shared" si="51"/>
        <v>0</v>
      </c>
      <c r="M130" s="16">
        <f t="shared" si="51"/>
        <v>274.89</v>
      </c>
      <c r="N130" s="16">
        <f t="shared" si="51"/>
        <v>533.3100000000001</v>
      </c>
      <c r="O130" s="16">
        <f t="shared" si="51"/>
        <v>266.65500000000003</v>
      </c>
    </row>
    <row r="131" spans="1:15" ht="18.75">
      <c r="A131" s="18" t="s">
        <v>102</v>
      </c>
      <c r="B131" s="19">
        <v>9.83</v>
      </c>
      <c r="C131" s="19">
        <v>0</v>
      </c>
      <c r="D131" s="19">
        <v>0</v>
      </c>
      <c r="E131" s="19">
        <v>0</v>
      </c>
      <c r="F131" s="98">
        <f>SUM(C131:E131)*2.5</f>
        <v>0</v>
      </c>
      <c r="G131" s="20">
        <f>B131+F131</f>
        <v>9.83</v>
      </c>
      <c r="H131" s="19">
        <v>25.68</v>
      </c>
      <c r="I131" s="19">
        <v>0</v>
      </c>
      <c r="J131" s="19">
        <v>0</v>
      </c>
      <c r="K131" s="19">
        <v>0</v>
      </c>
      <c r="L131" s="98">
        <f>SUM(I131:K131)*2.5</f>
        <v>0</v>
      </c>
      <c r="M131" s="20">
        <f>H131+L131</f>
        <v>25.68</v>
      </c>
      <c r="N131" s="26">
        <f>G131+M131</f>
        <v>35.51</v>
      </c>
      <c r="O131" s="19">
        <f>N131/2</f>
        <v>17.755</v>
      </c>
    </row>
    <row r="132" spans="1:15" ht="18.75">
      <c r="A132" s="36" t="s">
        <v>103</v>
      </c>
      <c r="B132" s="37">
        <v>248.59</v>
      </c>
      <c r="C132" s="37">
        <v>0</v>
      </c>
      <c r="D132" s="37">
        <v>0</v>
      </c>
      <c r="E132" s="37">
        <v>0</v>
      </c>
      <c r="F132" s="99">
        <f>SUM(C132:E132)*2.5</f>
        <v>0</v>
      </c>
      <c r="G132" s="38">
        <f>B132+F132</f>
        <v>248.59</v>
      </c>
      <c r="H132" s="37">
        <v>249.21</v>
      </c>
      <c r="I132" s="37">
        <v>0</v>
      </c>
      <c r="J132" s="37">
        <v>0</v>
      </c>
      <c r="K132" s="37">
        <v>0</v>
      </c>
      <c r="L132" s="99">
        <f>SUM(I132:K132)*2.5</f>
        <v>0</v>
      </c>
      <c r="M132" s="38">
        <f>H132+L132</f>
        <v>249.21</v>
      </c>
      <c r="N132" s="99">
        <f>G132+M132</f>
        <v>497.8</v>
      </c>
      <c r="O132" s="37">
        <f>N132/2</f>
        <v>248.9</v>
      </c>
    </row>
    <row r="133" spans="1:15" ht="18.75">
      <c r="A133" s="109"/>
      <c r="B133" s="110"/>
      <c r="C133" s="110"/>
      <c r="D133" s="110"/>
      <c r="E133" s="110"/>
      <c r="F133" s="93"/>
      <c r="G133" s="91"/>
      <c r="H133" s="110"/>
      <c r="I133" s="110"/>
      <c r="J133" s="110"/>
      <c r="K133" s="110"/>
      <c r="L133" s="93"/>
      <c r="M133" s="91"/>
      <c r="N133" s="93"/>
      <c r="O133" s="110"/>
    </row>
    <row r="134" spans="1:15" ht="18.75">
      <c r="A134" s="563" t="s">
        <v>0</v>
      </c>
      <c r="B134" s="563"/>
      <c r="C134" s="563"/>
      <c r="D134" s="563"/>
      <c r="E134" s="563"/>
      <c r="F134" s="563"/>
      <c r="G134" s="563"/>
      <c r="H134" s="563"/>
      <c r="I134" s="563"/>
      <c r="J134" s="563"/>
      <c r="K134" s="563"/>
      <c r="L134" s="563"/>
      <c r="M134" s="563"/>
      <c r="N134" s="563"/>
      <c r="O134" s="563"/>
    </row>
    <row r="135" spans="1:15" ht="18.75">
      <c r="A135" s="2"/>
      <c r="B135" s="564" t="s">
        <v>1</v>
      </c>
      <c r="C135" s="564"/>
      <c r="D135" s="564"/>
      <c r="E135" s="564"/>
      <c r="F135" s="564"/>
      <c r="G135" s="565"/>
      <c r="H135" s="564" t="s">
        <v>2</v>
      </c>
      <c r="I135" s="564"/>
      <c r="J135" s="564"/>
      <c r="K135" s="564"/>
      <c r="L135" s="564"/>
      <c r="M135" s="565"/>
      <c r="N135" s="3" t="s">
        <v>3</v>
      </c>
      <c r="O135" s="4"/>
    </row>
    <row r="136" spans="1:15" ht="18.75">
      <c r="A136" s="5" t="s">
        <v>4</v>
      </c>
      <c r="B136" s="566" t="s">
        <v>5</v>
      </c>
      <c r="C136" s="564"/>
      <c r="D136" s="564"/>
      <c r="E136" s="564"/>
      <c r="F136" s="565"/>
      <c r="G136" s="5" t="s">
        <v>3</v>
      </c>
      <c r="H136" s="566" t="s">
        <v>5</v>
      </c>
      <c r="I136" s="564"/>
      <c r="J136" s="564"/>
      <c r="K136" s="564"/>
      <c r="L136" s="565"/>
      <c r="M136" s="5" t="s">
        <v>3</v>
      </c>
      <c r="N136" s="6" t="s">
        <v>6</v>
      </c>
      <c r="O136" s="6" t="s">
        <v>7</v>
      </c>
    </row>
    <row r="137" spans="1:15" ht="18.75">
      <c r="A137" s="7"/>
      <c r="B137" s="8" t="s">
        <v>8</v>
      </c>
      <c r="C137" s="8" t="s">
        <v>9</v>
      </c>
      <c r="D137" s="8" t="s">
        <v>10</v>
      </c>
      <c r="E137" s="8" t="s">
        <v>11</v>
      </c>
      <c r="F137" s="8" t="s">
        <v>12</v>
      </c>
      <c r="G137" s="8" t="s">
        <v>13</v>
      </c>
      <c r="H137" s="8" t="s">
        <v>8</v>
      </c>
      <c r="I137" s="8" t="s">
        <v>9</v>
      </c>
      <c r="J137" s="8" t="s">
        <v>10</v>
      </c>
      <c r="K137" s="8" t="s">
        <v>11</v>
      </c>
      <c r="L137" s="8" t="s">
        <v>12</v>
      </c>
      <c r="M137" s="8" t="s">
        <v>13</v>
      </c>
      <c r="N137" s="9"/>
      <c r="O137" s="10"/>
    </row>
    <row r="138" spans="1:15" ht="18.75">
      <c r="A138" s="111" t="s">
        <v>104</v>
      </c>
      <c r="B138" s="112">
        <f aca="true" t="shared" si="52" ref="B138:O138">SUM(B139:B141)</f>
        <v>596.0899999999999</v>
      </c>
      <c r="C138" s="112">
        <f t="shared" si="52"/>
        <v>0</v>
      </c>
      <c r="D138" s="112">
        <f t="shared" si="52"/>
        <v>0</v>
      </c>
      <c r="E138" s="112">
        <f t="shared" si="52"/>
        <v>0</v>
      </c>
      <c r="F138" s="112">
        <f t="shared" si="52"/>
        <v>0</v>
      </c>
      <c r="G138" s="112">
        <f t="shared" si="52"/>
        <v>596.0899999999999</v>
      </c>
      <c r="H138" s="112">
        <f t="shared" si="52"/>
        <v>655.22</v>
      </c>
      <c r="I138" s="112">
        <f t="shared" si="52"/>
        <v>0</v>
      </c>
      <c r="J138" s="112">
        <f t="shared" si="52"/>
        <v>0</v>
      </c>
      <c r="K138" s="112">
        <f t="shared" si="52"/>
        <v>0</v>
      </c>
      <c r="L138" s="112">
        <f t="shared" si="52"/>
        <v>0</v>
      </c>
      <c r="M138" s="112">
        <f t="shared" si="52"/>
        <v>655.22</v>
      </c>
      <c r="N138" s="112">
        <f t="shared" si="52"/>
        <v>1251.31</v>
      </c>
      <c r="O138" s="112">
        <f t="shared" si="52"/>
        <v>625.655</v>
      </c>
    </row>
    <row r="139" spans="1:15" ht="18.75">
      <c r="A139" s="15" t="s">
        <v>105</v>
      </c>
      <c r="B139" s="16">
        <v>416.69</v>
      </c>
      <c r="C139" s="16">
        <v>0</v>
      </c>
      <c r="D139" s="16">
        <v>0</v>
      </c>
      <c r="E139" s="16">
        <v>0</v>
      </c>
      <c r="F139" s="16">
        <f>SUM(C139:E139)*2.5</f>
        <v>0</v>
      </c>
      <c r="G139" s="17">
        <f>B139+F139</f>
        <v>416.69</v>
      </c>
      <c r="H139" s="16">
        <v>487.67</v>
      </c>
      <c r="I139" s="16">
        <v>0</v>
      </c>
      <c r="J139" s="16">
        <v>0</v>
      </c>
      <c r="K139" s="16">
        <v>0</v>
      </c>
      <c r="L139" s="16">
        <f>SUM(I139:K139)*2.5</f>
        <v>0</v>
      </c>
      <c r="M139" s="17">
        <f>H139+L139</f>
        <v>487.67</v>
      </c>
      <c r="N139" s="16">
        <f>G139+M139</f>
        <v>904.36</v>
      </c>
      <c r="O139" s="16">
        <f>N139/2</f>
        <v>452.18</v>
      </c>
    </row>
    <row r="140" spans="1:15" ht="18.75">
      <c r="A140" s="15" t="s">
        <v>106</v>
      </c>
      <c r="B140" s="16">
        <v>109.59</v>
      </c>
      <c r="C140" s="16">
        <v>0</v>
      </c>
      <c r="D140" s="16">
        <v>0</v>
      </c>
      <c r="E140" s="16">
        <v>0</v>
      </c>
      <c r="F140" s="16">
        <f>SUM(C140:E140)*2.5</f>
        <v>0</v>
      </c>
      <c r="G140" s="17">
        <f>B140+F140</f>
        <v>109.59</v>
      </c>
      <c r="H140" s="16">
        <v>72.99</v>
      </c>
      <c r="I140" s="16">
        <v>0</v>
      </c>
      <c r="J140" s="16">
        <v>0</v>
      </c>
      <c r="K140" s="16">
        <v>0</v>
      </c>
      <c r="L140" s="16">
        <f>SUM(I140:K140)*2.5</f>
        <v>0</v>
      </c>
      <c r="M140" s="17">
        <f>H140+L140</f>
        <v>72.99</v>
      </c>
      <c r="N140" s="16">
        <f>G140+M140</f>
        <v>182.57999999999998</v>
      </c>
      <c r="O140" s="16">
        <f>N140/2</f>
        <v>91.28999999999999</v>
      </c>
    </row>
    <row r="141" spans="1:15" ht="18.75">
      <c r="A141" s="15" t="s">
        <v>107</v>
      </c>
      <c r="B141" s="16">
        <v>69.81</v>
      </c>
      <c r="C141" s="16">
        <v>0</v>
      </c>
      <c r="D141" s="16">
        <v>0</v>
      </c>
      <c r="E141" s="16">
        <v>0</v>
      </c>
      <c r="F141" s="29">
        <f>SUM(C141:E141)*2.5</f>
        <v>0</v>
      </c>
      <c r="G141" s="17">
        <f>B141+F141</f>
        <v>69.81</v>
      </c>
      <c r="H141" s="16">
        <v>94.56</v>
      </c>
      <c r="I141" s="16">
        <v>0</v>
      </c>
      <c r="J141" s="16">
        <v>0</v>
      </c>
      <c r="K141" s="16">
        <v>0</v>
      </c>
      <c r="L141" s="29">
        <f>SUM(I141:K141)*2.5</f>
        <v>0</v>
      </c>
      <c r="M141" s="17">
        <f>H141+L141</f>
        <v>94.56</v>
      </c>
      <c r="N141" s="16">
        <f>G141+M141</f>
        <v>164.37</v>
      </c>
      <c r="O141" s="16">
        <f>N141/2</f>
        <v>82.185</v>
      </c>
    </row>
    <row r="142" spans="1:15" ht="18.75">
      <c r="A142" s="27" t="s">
        <v>108</v>
      </c>
      <c r="B142" s="113">
        <f aca="true" t="shared" si="53" ref="B142:O142">SUM(B143:B144)</f>
        <v>165.83</v>
      </c>
      <c r="C142" s="113">
        <f t="shared" si="53"/>
        <v>0</v>
      </c>
      <c r="D142" s="113">
        <f t="shared" si="53"/>
        <v>0</v>
      </c>
      <c r="E142" s="113">
        <f t="shared" si="53"/>
        <v>0</v>
      </c>
      <c r="F142" s="113">
        <f t="shared" si="53"/>
        <v>0</v>
      </c>
      <c r="G142" s="113">
        <f t="shared" si="53"/>
        <v>165.83</v>
      </c>
      <c r="H142" s="113">
        <f t="shared" si="53"/>
        <v>194.24</v>
      </c>
      <c r="I142" s="113">
        <f t="shared" si="53"/>
        <v>0</v>
      </c>
      <c r="J142" s="113">
        <f t="shared" si="53"/>
        <v>0</v>
      </c>
      <c r="K142" s="113">
        <f t="shared" si="53"/>
        <v>0</v>
      </c>
      <c r="L142" s="113">
        <f t="shared" si="53"/>
        <v>0</v>
      </c>
      <c r="M142" s="113">
        <f t="shared" si="53"/>
        <v>194.24</v>
      </c>
      <c r="N142" s="113">
        <f t="shared" si="53"/>
        <v>360.07</v>
      </c>
      <c r="O142" s="113">
        <f t="shared" si="53"/>
        <v>180.035</v>
      </c>
    </row>
    <row r="143" spans="1:15" ht="18.75">
      <c r="A143" s="15" t="s">
        <v>109</v>
      </c>
      <c r="B143" s="16">
        <v>80.18</v>
      </c>
      <c r="C143" s="16">
        <v>0</v>
      </c>
      <c r="D143" s="16">
        <v>0</v>
      </c>
      <c r="E143" s="16">
        <v>0</v>
      </c>
      <c r="F143" s="16">
        <f>SUM(C143:E143)*2.5</f>
        <v>0</v>
      </c>
      <c r="G143" s="17">
        <f>B143+F143</f>
        <v>80.18</v>
      </c>
      <c r="H143" s="16">
        <v>103.5</v>
      </c>
      <c r="I143" s="16">
        <v>0</v>
      </c>
      <c r="J143" s="16">
        <v>0</v>
      </c>
      <c r="K143" s="16">
        <v>0</v>
      </c>
      <c r="L143" s="16">
        <f>SUM(I143:K143)*2.5</f>
        <v>0</v>
      </c>
      <c r="M143" s="17">
        <f>H143+L143</f>
        <v>103.5</v>
      </c>
      <c r="N143" s="16">
        <f>G143+M143</f>
        <v>183.68</v>
      </c>
      <c r="O143" s="16">
        <f>N143/2</f>
        <v>91.84</v>
      </c>
    </row>
    <row r="144" spans="1:15" ht="18.75">
      <c r="A144" s="114" t="s">
        <v>110</v>
      </c>
      <c r="B144" s="115">
        <f aca="true" t="shared" si="54" ref="B144:O144">SUM(B145:B146)</f>
        <v>85.65</v>
      </c>
      <c r="C144" s="115">
        <f t="shared" si="54"/>
        <v>0</v>
      </c>
      <c r="D144" s="115">
        <f t="shared" si="54"/>
        <v>0</v>
      </c>
      <c r="E144" s="115">
        <f t="shared" si="54"/>
        <v>0</v>
      </c>
      <c r="F144" s="115">
        <f t="shared" si="54"/>
        <v>0</v>
      </c>
      <c r="G144" s="115">
        <f t="shared" si="54"/>
        <v>85.65</v>
      </c>
      <c r="H144" s="115">
        <f t="shared" si="54"/>
        <v>90.74</v>
      </c>
      <c r="I144" s="115">
        <f t="shared" si="54"/>
        <v>0</v>
      </c>
      <c r="J144" s="115">
        <f t="shared" si="54"/>
        <v>0</v>
      </c>
      <c r="K144" s="115">
        <f t="shared" si="54"/>
        <v>0</v>
      </c>
      <c r="L144" s="115">
        <f t="shared" si="54"/>
        <v>0</v>
      </c>
      <c r="M144" s="115">
        <f t="shared" si="54"/>
        <v>90.74</v>
      </c>
      <c r="N144" s="115">
        <f t="shared" si="54"/>
        <v>176.39</v>
      </c>
      <c r="O144" s="115">
        <f t="shared" si="54"/>
        <v>88.195</v>
      </c>
    </row>
    <row r="145" spans="1:15" ht="18.75">
      <c r="A145" s="18" t="s">
        <v>111</v>
      </c>
      <c r="B145" s="19">
        <v>28.71</v>
      </c>
      <c r="C145" s="19">
        <v>0</v>
      </c>
      <c r="D145" s="19">
        <v>0</v>
      </c>
      <c r="E145" s="19">
        <v>0</v>
      </c>
      <c r="F145" s="26">
        <f>SUM(C145:E145)*2.5</f>
        <v>0</v>
      </c>
      <c r="G145" s="20">
        <f>B145+F145</f>
        <v>28.71</v>
      </c>
      <c r="H145" s="19">
        <v>26.49</v>
      </c>
      <c r="I145" s="19">
        <v>0</v>
      </c>
      <c r="J145" s="19">
        <v>0</v>
      </c>
      <c r="K145" s="19">
        <v>0</v>
      </c>
      <c r="L145" s="26">
        <f>SUM(I145:K145)*2.5</f>
        <v>0</v>
      </c>
      <c r="M145" s="20">
        <f>H145+L145</f>
        <v>26.49</v>
      </c>
      <c r="N145" s="26">
        <f>G145+M145</f>
        <v>55.2</v>
      </c>
      <c r="O145" s="19">
        <f>N145/2</f>
        <v>27.6</v>
      </c>
    </row>
    <row r="146" spans="1:15" ht="18.75">
      <c r="A146" s="36" t="s">
        <v>112</v>
      </c>
      <c r="B146" s="37">
        <v>56.94</v>
      </c>
      <c r="C146" s="37">
        <v>0</v>
      </c>
      <c r="D146" s="37">
        <v>0</v>
      </c>
      <c r="E146" s="37">
        <v>0</v>
      </c>
      <c r="F146" s="99">
        <f>SUM(C146:E146)*2.5</f>
        <v>0</v>
      </c>
      <c r="G146" s="38">
        <f>B146+F146</f>
        <v>56.94</v>
      </c>
      <c r="H146" s="37">
        <v>64.25</v>
      </c>
      <c r="I146" s="37">
        <v>0</v>
      </c>
      <c r="J146" s="37">
        <v>0</v>
      </c>
      <c r="K146" s="37">
        <v>0</v>
      </c>
      <c r="L146" s="99">
        <f>SUM(I146:K146)*2.5</f>
        <v>0</v>
      </c>
      <c r="M146" s="38">
        <f>H146+L146</f>
        <v>64.25</v>
      </c>
      <c r="N146" s="99">
        <f>G146+M146</f>
        <v>121.19</v>
      </c>
      <c r="O146" s="37">
        <f>N146/2</f>
        <v>60.595</v>
      </c>
    </row>
    <row r="147" spans="1:15" ht="18.75">
      <c r="A147" s="116" t="s">
        <v>113</v>
      </c>
      <c r="B147" s="116"/>
      <c r="C147" s="116"/>
      <c r="D147" s="116"/>
      <c r="E147" s="116"/>
      <c r="F147" s="116"/>
      <c r="G147" s="116"/>
      <c r="H147" s="117"/>
      <c r="I147" s="117"/>
      <c r="J147" s="117"/>
      <c r="K147" s="117"/>
      <c r="L147" s="117"/>
      <c r="M147" s="117"/>
      <c r="N147" s="117"/>
      <c r="O147" s="117"/>
    </row>
    <row r="148" spans="1:15" ht="18.75">
      <c r="A148" s="117" t="s">
        <v>114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1:15" ht="21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21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21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21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21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21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21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21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21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21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21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21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21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21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</sheetData>
  <sheetProtection/>
  <mergeCells count="35">
    <mergeCell ref="B136:F136"/>
    <mergeCell ref="H136:L136"/>
    <mergeCell ref="B114:G114"/>
    <mergeCell ref="H114:M114"/>
    <mergeCell ref="B115:F115"/>
    <mergeCell ref="H115:L115"/>
    <mergeCell ref="A134:O134"/>
    <mergeCell ref="B135:G135"/>
    <mergeCell ref="H135:M135"/>
    <mergeCell ref="H71:L71"/>
    <mergeCell ref="A92:O92"/>
    <mergeCell ref="B93:G93"/>
    <mergeCell ref="H93:M93"/>
    <mergeCell ref="B94:F94"/>
    <mergeCell ref="H94:L94"/>
    <mergeCell ref="H25:M25"/>
    <mergeCell ref="B26:F26"/>
    <mergeCell ref="H26:L26"/>
    <mergeCell ref="A113:O113"/>
    <mergeCell ref="B50:F50"/>
    <mergeCell ref="H50:L50"/>
    <mergeCell ref="A69:O69"/>
    <mergeCell ref="B70:G70"/>
    <mergeCell ref="H70:M70"/>
    <mergeCell ref="B71:F71"/>
    <mergeCell ref="A48:O48"/>
    <mergeCell ref="B49:G49"/>
    <mergeCell ref="H49:M49"/>
    <mergeCell ref="A1:O1"/>
    <mergeCell ref="B2:G2"/>
    <mergeCell ref="H2:M2"/>
    <mergeCell ref="B3:F3"/>
    <mergeCell ref="H3:L3"/>
    <mergeCell ref="A24:O24"/>
    <mergeCell ref="B25:G25"/>
  </mergeCells>
  <printOptions horizontalCentered="1"/>
  <pageMargins left="0.5905511811023623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&amp;L&amp;10งานสารสนเทศและประเมินผล&amp;C&amp;10 ข้อมูล ณ วันที  13  พฤศจิกายน  2550&amp;R&amp;10FTES 2 - 50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pdftsu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pdf</dc:creator>
  <cp:keywords/>
  <dc:description/>
  <cp:lastModifiedBy>Administrator</cp:lastModifiedBy>
  <cp:lastPrinted>2011-08-28T08:03:27Z</cp:lastPrinted>
  <dcterms:created xsi:type="dcterms:W3CDTF">2010-10-31T03:40:22Z</dcterms:created>
  <dcterms:modified xsi:type="dcterms:W3CDTF">2015-10-07T08:19:21Z</dcterms:modified>
  <cp:category/>
  <cp:version/>
  <cp:contentType/>
  <cp:contentStatus/>
</cp:coreProperties>
</file>